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440" windowHeight="11835"/>
  </bookViews>
  <sheets>
    <sheet name="EUD" sheetId="1" r:id="rId1"/>
    <sheet name="Eudora Charge by City" sheetId="2" r:id="rId2"/>
    <sheet name="Eudora Load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y">650000</definedName>
    <definedName name="budget">"2011 ANNUAL BUDGET"</definedName>
    <definedName name="Credit">0.75</definedName>
    <definedName name="Draft">"Draft as of July 7, 2010"</definedName>
    <definedName name="Header">"2011 ANNUAL BUDGET"</definedName>
    <definedName name="Next">"2011"</definedName>
    <definedName name="_xlnm.Print_Area" localSheetId="0">EUD!$B$1:$L$43</definedName>
    <definedName name="This">"2010"</definedName>
  </definedNames>
  <calcPr calcId="145621"/>
</workbook>
</file>

<file path=xl/calcChain.xml><?xml version="1.0" encoding="utf-8"?>
<calcChain xmlns="http://schemas.openxmlformats.org/spreadsheetml/2006/main">
  <c r="C29" i="2" l="1"/>
  <c r="D29" i="2"/>
  <c r="E29" i="2"/>
  <c r="F29" i="2"/>
  <c r="G29" i="2"/>
  <c r="H29" i="2"/>
  <c r="I29" i="2"/>
  <c r="J29" i="2"/>
  <c r="K29" i="2"/>
  <c r="L29" i="2"/>
  <c r="M29" i="2"/>
  <c r="B29" i="2"/>
  <c r="C16" i="2" l="1"/>
  <c r="D16" i="2"/>
  <c r="E16" i="2"/>
  <c r="F16" i="2"/>
  <c r="G16" i="2"/>
  <c r="H16" i="2"/>
  <c r="I16" i="2"/>
  <c r="J16" i="2"/>
  <c r="K16" i="2"/>
  <c r="L16" i="2"/>
  <c r="M16" i="2"/>
  <c r="B16" i="2"/>
  <c r="C12" i="2"/>
  <c r="D12" i="2"/>
  <c r="E12" i="2"/>
  <c r="F12" i="2"/>
  <c r="G12" i="2"/>
  <c r="H12" i="2"/>
  <c r="I12" i="2"/>
  <c r="J12" i="2"/>
  <c r="K12" i="2"/>
  <c r="L12" i="2"/>
  <c r="M12" i="2"/>
  <c r="B12" i="2"/>
  <c r="J22" i="1" l="1"/>
  <c r="J20" i="1"/>
  <c r="J18" i="1"/>
  <c r="J15" i="1"/>
  <c r="J12" i="1"/>
  <c r="M19" i="2" l="1"/>
  <c r="L19" i="2"/>
  <c r="K19" i="2"/>
  <c r="J19" i="2"/>
  <c r="I19" i="2"/>
  <c r="H19" i="2"/>
  <c r="G19" i="2"/>
  <c r="F19" i="2"/>
  <c r="E19" i="2"/>
  <c r="D19" i="2"/>
  <c r="C7" i="3"/>
  <c r="C19" i="2" s="1"/>
  <c r="C6" i="3"/>
  <c r="B19" i="2" s="1"/>
  <c r="C17" i="3" l="1"/>
  <c r="C16" i="3"/>
  <c r="C15" i="3"/>
  <c r="C14" i="3"/>
  <c r="C13" i="3"/>
  <c r="C12" i="3"/>
  <c r="C11" i="3"/>
  <c r="B20" i="2" l="1"/>
  <c r="B21" i="2" s="1"/>
  <c r="D20" i="2" l="1"/>
  <c r="D21" i="2" s="1"/>
  <c r="F20" i="2"/>
  <c r="F21" i="2" s="1"/>
  <c r="H20" i="2"/>
  <c r="H21" i="2" s="1"/>
  <c r="J20" i="2"/>
  <c r="J21" i="2" s="1"/>
  <c r="L20" i="2"/>
  <c r="L21" i="2" s="1"/>
  <c r="C20" i="2"/>
  <c r="C21" i="2" s="1"/>
  <c r="E20" i="2"/>
  <c r="E21" i="2" s="1"/>
  <c r="G20" i="2"/>
  <c r="G21" i="2" s="1"/>
  <c r="I20" i="2"/>
  <c r="I21" i="2" s="1"/>
  <c r="K20" i="2"/>
  <c r="K21" i="2" s="1"/>
  <c r="M20" i="2"/>
  <c r="M21" i="2" s="1"/>
  <c r="D42" i="2" l="1"/>
  <c r="C42" i="2"/>
  <c r="B42" i="2"/>
  <c r="E42" i="2"/>
  <c r="F42" i="2"/>
  <c r="G42" i="2"/>
  <c r="H42" i="2"/>
  <c r="I42" i="2"/>
  <c r="J42" i="2"/>
  <c r="K42" i="2"/>
  <c r="L42" i="2"/>
  <c r="M42" i="2"/>
  <c r="N42" i="2" l="1"/>
  <c r="M33" i="2" l="1"/>
  <c r="L33" i="2"/>
  <c r="K33" i="2"/>
  <c r="J33" i="2"/>
  <c r="I33" i="2"/>
  <c r="H33" i="2"/>
  <c r="G33" i="2"/>
  <c r="F33" i="2"/>
  <c r="E33" i="2"/>
  <c r="D33" i="2"/>
  <c r="C33" i="2"/>
  <c r="B33" i="2"/>
  <c r="N34" i="2"/>
  <c r="H22" i="1" s="1"/>
  <c r="L22" i="1" l="1"/>
  <c r="J24" i="1"/>
  <c r="F12" i="1"/>
  <c r="D12" i="1"/>
  <c r="C39" i="2"/>
  <c r="D39" i="2"/>
  <c r="E39" i="2"/>
  <c r="F39" i="2"/>
  <c r="G39" i="2"/>
  <c r="H39" i="2"/>
  <c r="I39" i="2"/>
  <c r="J39" i="2"/>
  <c r="K39" i="2"/>
  <c r="L39" i="2"/>
  <c r="M39" i="2"/>
  <c r="B39" i="2"/>
  <c r="N39" i="2" l="1"/>
  <c r="N16" i="2"/>
  <c r="H12" i="1" s="1"/>
  <c r="L12" i="1" s="1"/>
  <c r="N19" i="2" l="1"/>
  <c r="N20" i="2"/>
  <c r="N21" i="2" l="1"/>
  <c r="C19" i="3"/>
  <c r="M28" i="2" l="1"/>
  <c r="M38" i="2" s="1"/>
  <c r="L28" i="2"/>
  <c r="L38" i="2" s="1"/>
  <c r="K28" i="2"/>
  <c r="K38" i="2" s="1"/>
  <c r="J28" i="2"/>
  <c r="J38" i="2" s="1"/>
  <c r="I28" i="2"/>
  <c r="I38" i="2" s="1"/>
  <c r="H28" i="2"/>
  <c r="H38" i="2" s="1"/>
  <c r="G28" i="2"/>
  <c r="G38" i="2" s="1"/>
  <c r="F28" i="2"/>
  <c r="F38" i="2" s="1"/>
  <c r="E28" i="2"/>
  <c r="E38" i="2" s="1"/>
  <c r="D28" i="2"/>
  <c r="D38" i="2" s="1"/>
  <c r="C28" i="2"/>
  <c r="C38" i="2" s="1"/>
  <c r="B28" i="2"/>
  <c r="B38" i="2" s="1"/>
  <c r="N23" i="2"/>
  <c r="F15" i="1" s="1"/>
  <c r="M25" i="2"/>
  <c r="M40" i="2" s="1"/>
  <c r="K25" i="2"/>
  <c r="K40" i="2" s="1"/>
  <c r="I25" i="2"/>
  <c r="I40" i="2" s="1"/>
  <c r="G25" i="2"/>
  <c r="G40" i="2" s="1"/>
  <c r="E25" i="2"/>
  <c r="E40" i="2" s="1"/>
  <c r="C25" i="2"/>
  <c r="C40" i="2" s="1"/>
  <c r="C41" i="2" l="1"/>
  <c r="B41" i="2"/>
  <c r="B25" i="2"/>
  <c r="B40" i="2" s="1"/>
  <c r="D25" i="2"/>
  <c r="D40" i="2" s="1"/>
  <c r="F25" i="2"/>
  <c r="F40" i="2" s="1"/>
  <c r="H25" i="2"/>
  <c r="H40" i="2" s="1"/>
  <c r="J25" i="2"/>
  <c r="J40" i="2" s="1"/>
  <c r="L25" i="2"/>
  <c r="L40" i="2" s="1"/>
  <c r="D15" i="1"/>
  <c r="J26" i="1"/>
  <c r="D41" i="2" l="1"/>
  <c r="N25" i="2"/>
  <c r="E41" i="2" l="1"/>
  <c r="N40" i="2"/>
  <c r="H15" i="1"/>
  <c r="L15" i="1" l="1"/>
  <c r="F41" i="2"/>
  <c r="G41" i="2" l="1"/>
  <c r="H41" i="2" l="1"/>
  <c r="I41" i="2" l="1"/>
  <c r="J41" i="2" l="1"/>
  <c r="K41" i="2" l="1"/>
  <c r="L41" i="2" l="1"/>
  <c r="M41" i="2" l="1"/>
  <c r="N29" i="2" l="1"/>
  <c r="N41" i="2"/>
  <c r="D18" i="1" l="1"/>
  <c r="H18" i="1"/>
  <c r="L18" i="1" l="1"/>
  <c r="D20" i="1" l="1"/>
  <c r="H20" i="1" s="1"/>
  <c r="B43" i="2" l="1"/>
  <c r="L20" i="1"/>
  <c r="H24" i="1"/>
  <c r="H26" i="1" l="1"/>
  <c r="L24" i="1"/>
  <c r="C43" i="2"/>
  <c r="B44" i="2"/>
  <c r="L26" i="1" l="1"/>
  <c r="D43" i="2"/>
  <c r="C44" i="2"/>
  <c r="D44" i="2" l="1"/>
  <c r="E43" i="2"/>
  <c r="E44" i="2" l="1"/>
  <c r="F43" i="2"/>
  <c r="F44" i="2" l="1"/>
  <c r="G43" i="2"/>
  <c r="G44" i="2" l="1"/>
  <c r="H43" i="2"/>
  <c r="I43" i="2" l="1"/>
  <c r="H44" i="2"/>
  <c r="I44" i="2" l="1"/>
  <c r="J43" i="2"/>
  <c r="K43" i="2" l="1"/>
  <c r="J44" i="2"/>
  <c r="L43" i="2" l="1"/>
  <c r="K44" i="2"/>
  <c r="L44" i="2" l="1"/>
  <c r="M43" i="2"/>
  <c r="M44" i="2" l="1"/>
  <c r="N43" i="2"/>
  <c r="N44" i="2" s="1"/>
</calcChain>
</file>

<file path=xl/comments1.xml><?xml version="1.0" encoding="utf-8"?>
<comments xmlns="http://schemas.openxmlformats.org/spreadsheetml/2006/main">
  <authors>
    <author>Jennifer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Includes MCG, Lightedge, Communications, REMC load forecasting ($100) and REMC Fees ($500)
</t>
        </r>
      </text>
    </comment>
  </commentList>
</comments>
</file>

<file path=xl/sharedStrings.xml><?xml version="1.0" encoding="utf-8"?>
<sst xmlns="http://schemas.openxmlformats.org/spreadsheetml/2006/main" count="86" uniqueCount="64">
  <si>
    <t>KANSAS MUNICIPAL ENERGY AGENCY</t>
  </si>
  <si>
    <t>Variance</t>
  </si>
  <si>
    <t>Fav/(Unfav)</t>
  </si>
  <si>
    <t>Description</t>
  </si>
  <si>
    <t>Budget</t>
  </si>
  <si>
    <t>Amount</t>
  </si>
  <si>
    <t>Energy Charges:</t>
  </si>
  <si>
    <t>MWh at</t>
  </si>
  <si>
    <t>Transmission:</t>
  </si>
  <si>
    <t>NITS demand charges</t>
  </si>
  <si>
    <t>Agency Expense</t>
  </si>
  <si>
    <t>Subtotal</t>
  </si>
  <si>
    <t>Total City Payments</t>
  </si>
  <si>
    <t>EUDORA</t>
  </si>
  <si>
    <t>Kansas Municipal Energy Agency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</si>
  <si>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</si>
  <si>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</si>
  <si>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</si>
  <si>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</si>
  <si>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</si>
  <si>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</si>
  <si>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</si>
  <si>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</si>
  <si>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</si>
  <si>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</si>
  <si>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</si>
  <si>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</si>
  <si>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</si>
  <si>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Transmission Charges $</t>
  </si>
  <si>
    <t>Total Budget</t>
  </si>
  <si>
    <t>Purchased Power</t>
  </si>
  <si>
    <t>Transmission</t>
  </si>
  <si>
    <t>month</t>
  </si>
  <si>
    <t>MWH</t>
  </si>
  <si>
    <t xml:space="preserve">Eudora - Monthly Costs </t>
  </si>
  <si>
    <t>KCP&amp;L $</t>
  </si>
  <si>
    <t>Eudora Load</t>
  </si>
  <si>
    <t>KCP&amp;L purchases</t>
  </si>
  <si>
    <t>KCP&amp;L Purchases (kWh)</t>
  </si>
  <si>
    <t>WAPA MWH</t>
  </si>
  <si>
    <t>Eudora Spot Purchases</t>
  </si>
  <si>
    <t>Price/mWh (KCP&amp;L contract)</t>
  </si>
  <si>
    <t>Energy:</t>
  </si>
  <si>
    <t>Capacity</t>
  </si>
  <si>
    <t>MW</t>
  </si>
  <si>
    <t>Price/MW month</t>
  </si>
  <si>
    <t>Capacity:</t>
  </si>
  <si>
    <t xml:space="preserve"> </t>
  </si>
  <si>
    <t>Capcity $</t>
  </si>
  <si>
    <t>Capacity Charges:</t>
  </si>
  <si>
    <t>Other Operating Expenses</t>
  </si>
  <si>
    <t>Other Operating Expenses $</t>
  </si>
  <si>
    <t>Note:</t>
  </si>
  <si>
    <t>Eudora capacity payments will be paid directly to KCP&amp;L so the amount isn't included in the overall KMEA budget.</t>
  </si>
  <si>
    <t>Eudora Load per John Seck &amp; 2013 Actuals</t>
  </si>
  <si>
    <t>2015 Annual Budget</t>
  </si>
  <si>
    <t>Variance Explanations:</t>
  </si>
  <si>
    <t xml:space="preserve">  Transmission charges are unfavorable due to an overall increase in SPP costs.</t>
  </si>
  <si>
    <t>Price changes each year on June 1st</t>
  </si>
  <si>
    <t>WAPA MW</t>
  </si>
  <si>
    <t>Net Capacity</t>
  </si>
  <si>
    <t>Eudora (per May 14 invoice +</t>
  </si>
  <si>
    <t>Inflation)</t>
  </si>
  <si>
    <t xml:space="preserve">  Energy charges are unfavorable due increase in contract price for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</si>
</sst>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0000_);_(* \(#,##0.000000\);_(* &quot;-&quot;??_);_(@_)"/>
    <numFmt numFmtId="166" formatCode="_(* #,##0_);_(* \(#,##0\);_(* &quot;-&quot;??_);_(@_)"/>
    <numFmt numFmtId="167" formatCode="0.000%"/>
    <numFmt numFmtId="168" formatCode="_(&quot;$&quot;* #,##0_);_(&quot;$&quot;* \(#,##0\);_(&quot;$&quot;* &quot;-&quot;??_);_(@_)"/>
    <numFmt numFmtId="169" formatCode="#,##0.000_);\(#,##0.000\)"/>
    <numFmt numFmtId="170" formatCode="#,##0.000000_);\(#,##0.000000\)"/>
    <numFmt numFmtId="171" formatCode="_(* #,##0.0000_);_(* \(#,##0.0000\);_(* &quot;-&quot;??_);_(@_)"/>
    <numFmt numFmtId="172" formatCode="_(* #,##0.0_);_(* \(#,##0.0\);_(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</cellStyleXfs>
  <cellXfs count="95">
    <xf numFmtId="0" fontId="0" fillId="0" borderId="0" xfId="0"/>
    <xf numFmtId="164" fontId="5" fillId="0" borderId="0" xfId="0" applyNumberFormat="1" applyFont="1"/>
    <xf numFmtId="37" fontId="5" fillId="0" borderId="0" xfId="0" applyNumberFormat="1" applyFont="1"/>
    <xf numFmtId="165" fontId="5" fillId="0" borderId="0" xfId="1" applyNumberFormat="1" applyFont="1"/>
    <xf numFmtId="37" fontId="5" fillId="0" borderId="0" xfId="0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0" fillId="0" borderId="1" xfId="0" applyBorder="1"/>
    <xf numFmtId="37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/>
    <xf numFmtId="37" fontId="5" fillId="0" borderId="0" xfId="0" applyNumberFormat="1" applyFont="1" applyBorder="1"/>
    <xf numFmtId="166" fontId="5" fillId="0" borderId="0" xfId="1" applyNumberFormat="1" applyFont="1"/>
    <xf numFmtId="44" fontId="5" fillId="0" borderId="0" xfId="2" applyNumberFormat="1" applyFont="1"/>
    <xf numFmtId="37" fontId="5" fillId="0" borderId="0" xfId="0" quotePrefix="1" applyNumberFormat="1" applyFont="1"/>
    <xf numFmtId="5" fontId="5" fillId="0" borderId="0" xfId="2" applyNumberFormat="1" applyFont="1"/>
    <xf numFmtId="44" fontId="5" fillId="0" borderId="0" xfId="2" applyFont="1"/>
    <xf numFmtId="7" fontId="5" fillId="0" borderId="0" xfId="2" applyNumberFormat="1" applyFont="1"/>
    <xf numFmtId="10" fontId="5" fillId="0" borderId="0" xfId="3" applyNumberFormat="1" applyFont="1"/>
    <xf numFmtId="0" fontId="5" fillId="0" borderId="0" xfId="0" applyFont="1"/>
    <xf numFmtId="37" fontId="5" fillId="0" borderId="0" xfId="0" quotePrefix="1" applyNumberFormat="1" applyFont="1" applyAlignment="1">
      <alignment horizontal="left"/>
    </xf>
    <xf numFmtId="10" fontId="5" fillId="0" borderId="0" xfId="3" applyNumberFormat="1" applyFont="1" applyFill="1"/>
    <xf numFmtId="166" fontId="5" fillId="0" borderId="0" xfId="1" applyNumberFormat="1" applyFont="1" applyFill="1"/>
    <xf numFmtId="166" fontId="5" fillId="0" borderId="1" xfId="1" applyNumberFormat="1" applyFont="1" applyBorder="1"/>
    <xf numFmtId="37" fontId="5" fillId="0" borderId="2" xfId="0" applyNumberFormat="1" applyFont="1" applyBorder="1"/>
    <xf numFmtId="166" fontId="5" fillId="0" borderId="2" xfId="1" applyNumberFormat="1" applyFont="1" applyBorder="1"/>
    <xf numFmtId="167" fontId="5" fillId="0" borderId="0" xfId="3" applyNumberFormat="1" applyFont="1"/>
    <xf numFmtId="37" fontId="5" fillId="0" borderId="0" xfId="0" applyNumberFormat="1" applyFont="1" applyFill="1"/>
    <xf numFmtId="169" fontId="5" fillId="0" borderId="0" xfId="0" applyNumberFormat="1" applyFont="1"/>
    <xf numFmtId="170" fontId="5" fillId="0" borderId="0" xfId="0" applyNumberFormat="1" applyFont="1"/>
    <xf numFmtId="43" fontId="4" fillId="0" borderId="0" xfId="1"/>
    <xf numFmtId="43" fontId="4" fillId="0" borderId="0" xfId="1" applyFill="1"/>
    <xf numFmtId="43" fontId="4" fillId="0" borderId="0" xfId="1" applyFont="1" applyAlignment="1"/>
    <xf numFmtId="166" fontId="0" fillId="0" borderId="0" xfId="1" applyNumberFormat="1" applyFont="1"/>
    <xf numFmtId="17" fontId="7" fillId="0" borderId="0" xfId="1" applyNumberFormat="1" applyFont="1" applyAlignment="1">
      <alignment horizontal="center"/>
    </xf>
    <xf numFmtId="43" fontId="8" fillId="0" borderId="0" xfId="1" applyFont="1" applyAlignment="1">
      <alignment horizontal="center"/>
    </xf>
    <xf numFmtId="166" fontId="0" fillId="2" borderId="0" xfId="1" applyNumberFormat="1" applyFont="1" applyFill="1"/>
    <xf numFmtId="10" fontId="0" fillId="0" borderId="0" xfId="3" applyNumberFormat="1" applyFont="1"/>
    <xf numFmtId="0" fontId="5" fillId="0" borderId="0" xfId="0" applyFont="1" applyFill="1"/>
    <xf numFmtId="43" fontId="0" fillId="2" borderId="0" xfId="1" applyNumberFormat="1" applyFont="1" applyFill="1"/>
    <xf numFmtId="43" fontId="0" fillId="0" borderId="0" xfId="1" applyNumberFormat="1" applyFont="1" applyFill="1"/>
    <xf numFmtId="0" fontId="4" fillId="0" borderId="0" xfId="0" applyFont="1"/>
    <xf numFmtId="171" fontId="0" fillId="0" borderId="0" xfId="1" applyNumberFormat="1" applyFont="1"/>
    <xf numFmtId="0" fontId="9" fillId="0" borderId="0" xfId="0" applyFont="1" applyFill="1"/>
    <xf numFmtId="5" fontId="0" fillId="0" borderId="0" xfId="1" applyNumberFormat="1" applyFont="1"/>
    <xf numFmtId="5" fontId="0" fillId="0" borderId="1" xfId="1" applyNumberFormat="1" applyFont="1" applyBorder="1"/>
    <xf numFmtId="43" fontId="4" fillId="0" borderId="0" xfId="4"/>
    <xf numFmtId="17" fontId="7" fillId="0" borderId="0" xfId="4" applyNumberFormat="1" applyFont="1" applyAlignment="1">
      <alignment horizontal="center"/>
    </xf>
    <xf numFmtId="43" fontId="8" fillId="0" borderId="0" xfId="4" applyFont="1" applyAlignment="1">
      <alignment horizontal="center"/>
    </xf>
    <xf numFmtId="5" fontId="0" fillId="2" borderId="0" xfId="1" applyNumberFormat="1" applyFont="1" applyFill="1"/>
    <xf numFmtId="0" fontId="9" fillId="0" borderId="0" xfId="0" applyFont="1"/>
    <xf numFmtId="0" fontId="3" fillId="0" borderId="0" xfId="6" applyFont="1"/>
    <xf numFmtId="0" fontId="2" fillId="0" borderId="0" xfId="6" applyAlignment="1">
      <alignment horizontal="center"/>
    </xf>
    <xf numFmtId="3" fontId="2" fillId="0" borderId="0" xfId="6" applyNumberFormat="1" applyAlignment="1">
      <alignment horizontal="center"/>
    </xf>
    <xf numFmtId="0" fontId="2" fillId="0" borderId="0" xfId="6"/>
    <xf numFmtId="0" fontId="3" fillId="0" borderId="0" xfId="6" applyFont="1" applyAlignment="1">
      <alignment horizontal="center"/>
    </xf>
    <xf numFmtId="3" fontId="2" fillId="0" borderId="1" xfId="6" applyNumberFormat="1" applyBorder="1" applyAlignment="1">
      <alignment horizontal="center"/>
    </xf>
    <xf numFmtId="5" fontId="5" fillId="0" borderId="0" xfId="1" applyNumberFormat="1" applyFont="1"/>
    <xf numFmtId="37" fontId="9" fillId="0" borderId="0" xfId="0" applyNumberFormat="1" applyFont="1"/>
    <xf numFmtId="168" fontId="9" fillId="0" borderId="3" xfId="2" applyNumberFormat="1" applyFont="1" applyBorder="1"/>
    <xf numFmtId="166" fontId="4" fillId="2" borderId="1" xfId="1" applyNumberFormat="1" applyFont="1" applyFill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0" fontId="6" fillId="0" borderId="0" xfId="0" applyFont="1"/>
    <xf numFmtId="43" fontId="8" fillId="0" borderId="1" xfId="1" applyFont="1" applyBorder="1" applyAlignment="1">
      <alignment horizontal="center"/>
    </xf>
    <xf numFmtId="172" fontId="4" fillId="0" borderId="0" xfId="1" applyNumberFormat="1" applyFont="1" applyAlignment="1">
      <alignment horizontal="center"/>
    </xf>
    <xf numFmtId="168" fontId="5" fillId="0" borderId="0" xfId="2" applyNumberFormat="1" applyFont="1"/>
    <xf numFmtId="5" fontId="0" fillId="0" borderId="0" xfId="1" applyNumberFormat="1" applyFont="1" applyFill="1"/>
    <xf numFmtId="0" fontId="6" fillId="0" borderId="1" xfId="0" applyFont="1" applyBorder="1"/>
    <xf numFmtId="0" fontId="1" fillId="0" borderId="0" xfId="6" applyFont="1"/>
    <xf numFmtId="37" fontId="12" fillId="0" borderId="4" xfId="0" quotePrefix="1" applyNumberFormat="1" applyFont="1" applyBorder="1" applyAlignment="1">
      <alignment horizontal="left"/>
    </xf>
    <xf numFmtId="10" fontId="5" fillId="0" borderId="2" xfId="3" applyNumberFormat="1" applyFont="1" applyBorder="1"/>
    <xf numFmtId="0" fontId="5" fillId="0" borderId="2" xfId="0" applyFont="1" applyBorder="1"/>
    <xf numFmtId="166" fontId="5" fillId="0" borderId="5" xfId="1" applyNumberFormat="1" applyFont="1" applyBorder="1"/>
    <xf numFmtId="37" fontId="5" fillId="0" borderId="6" xfId="0" quotePrefix="1" applyNumberFormat="1" applyFont="1" applyBorder="1" applyAlignment="1">
      <alignment horizontal="left"/>
    </xf>
    <xf numFmtId="10" fontId="5" fillId="0" borderId="0" xfId="3" applyNumberFormat="1" applyFont="1" applyBorder="1"/>
    <xf numFmtId="0" fontId="5" fillId="0" borderId="0" xfId="0" applyFont="1" applyBorder="1"/>
    <xf numFmtId="166" fontId="5" fillId="0" borderId="7" xfId="1" applyNumberFormat="1" applyFont="1" applyBorder="1"/>
    <xf numFmtId="37" fontId="5" fillId="0" borderId="7" xfId="0" applyNumberFormat="1" applyFont="1" applyBorder="1"/>
    <xf numFmtId="37" fontId="5" fillId="0" borderId="8" xfId="0" quotePrefix="1" applyNumberFormat="1" applyFont="1" applyBorder="1" applyAlignment="1">
      <alignment horizontal="left"/>
    </xf>
    <xf numFmtId="10" fontId="5" fillId="0" borderId="1" xfId="3" applyNumberFormat="1" applyFont="1" applyBorder="1"/>
    <xf numFmtId="0" fontId="5" fillId="0" borderId="1" xfId="0" applyFont="1" applyBorder="1"/>
    <xf numFmtId="166" fontId="5" fillId="0" borderId="9" xfId="1" applyNumberFormat="1" applyFont="1" applyBorder="1"/>
    <xf numFmtId="37" fontId="5" fillId="0" borderId="0" xfId="0" applyNumberFormat="1" applyFont="1" applyFill="1" applyBorder="1"/>
    <xf numFmtId="0" fontId="0" fillId="0" borderId="0" xfId="0" applyFill="1" applyBorder="1"/>
    <xf numFmtId="37" fontId="5" fillId="0" borderId="7" xfId="0" applyNumberFormat="1" applyFont="1" applyFill="1" applyBorder="1"/>
    <xf numFmtId="37" fontId="5" fillId="0" borderId="6" xfId="0" applyNumberFormat="1" applyFont="1" applyFill="1" applyBorder="1"/>
    <xf numFmtId="0" fontId="13" fillId="0" borderId="0" xfId="0" applyFont="1"/>
    <xf numFmtId="172" fontId="4" fillId="0" borderId="1" xfId="1" applyNumberFormat="1" applyFont="1" applyBorder="1" applyAlignment="1">
      <alignment horizontal="center"/>
    </xf>
    <xf numFmtId="5" fontId="4" fillId="0" borderId="0" xfId="1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164" fontId="9" fillId="0" borderId="0" xfId="0" quotePrefix="1" applyNumberFormat="1" applyFont="1" applyFill="1" applyAlignment="1">
      <alignment horizontal="center"/>
    </xf>
    <xf numFmtId="43" fontId="6" fillId="0" borderId="0" xfId="4" applyFont="1" applyAlignment="1">
      <alignment horizontal="center"/>
    </xf>
    <xf numFmtId="43" fontId="6" fillId="0" borderId="0" xfId="1" applyFont="1" applyAlignment="1">
      <alignment horizontal="center"/>
    </xf>
  </cellXfs>
  <cellStyles count="12">
    <cellStyle name="Comma" xfId="1" builtinId="3"/>
    <cellStyle name="Comma 2" xfId="4"/>
    <cellStyle name="Comma 3" xfId="7"/>
    <cellStyle name="Currency" xfId="2" builtinId="4"/>
    <cellStyle name="Currency 2" xfId="8"/>
    <cellStyle name="Normal" xfId="0" builtinId="0"/>
    <cellStyle name="Normal 2" xfId="6"/>
    <cellStyle name="Normal 2 2" xfId="5"/>
    <cellStyle name="Normal 3" xfId="9"/>
    <cellStyle name="Normal 4" xfId="10"/>
    <cellStyle name="Percent" xfId="3" builtinId="5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Budget/2014/Bud_14%20Eudora%20with%20Capacity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gency_Detail_Budget_2015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ud_15%20WAPA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Accounting/Projects/Project%20power%20summaries/2014/Power-2014-Eudo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Accounting/Projects/Project%20power%20summaries/2013/Power-2013-Eud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D"/>
      <sheetName val="Eudora Charge by City"/>
      <sheetName val="Eudora Load"/>
    </sheetNames>
    <sheetDataSet>
      <sheetData sheetId="0">
        <row r="12">
          <cell r="H12">
            <v>517000</v>
          </cell>
        </row>
        <row r="15">
          <cell r="H15">
            <v>1740484.0077024745</v>
          </cell>
        </row>
        <row r="18">
          <cell r="H18">
            <v>429431</v>
          </cell>
        </row>
        <row r="20">
          <cell r="H20">
            <v>85967</v>
          </cell>
        </row>
        <row r="22">
          <cell r="H22">
            <v>16629.538222500003</v>
          </cell>
        </row>
      </sheetData>
      <sheetData sheetId="1">
        <row r="18">
          <cell r="B18">
            <v>3414894.2974999994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ing"/>
      <sheetName val="Factor"/>
      <sheetName val="Alloc"/>
      <sheetName val="Agency Bridge"/>
      <sheetName val="Agency Summary"/>
      <sheetName val="Agency Summary PY Comp"/>
      <sheetName val="Agency Income &amp; Expenses-2015"/>
      <sheetName val="Salaries"/>
      <sheetName val="Agency Capital-2015"/>
      <sheetName val="Time Spent"/>
    </sheetNames>
    <sheetDataSet>
      <sheetData sheetId="0"/>
      <sheetData sheetId="1"/>
      <sheetData sheetId="2">
        <row r="19">
          <cell r="N19">
            <v>288102</v>
          </cell>
        </row>
        <row r="22">
          <cell r="N22">
            <v>103352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SCRIP"/>
      <sheetName val="ARM"/>
      <sheetName val="ASH"/>
      <sheetName val="BAL"/>
      <sheetName val="BELL"/>
      <sheetName val="BELO"/>
      <sheetName val="BUR"/>
      <sheetName val="CAW"/>
      <sheetName val="CEN"/>
      <sheetName val="CHA"/>
      <sheetName val="CIM"/>
      <sheetName val="COL"/>
      <sheetName val="ENT"/>
      <sheetName val="EUD"/>
      <sheetName val="GAR"/>
      <sheetName val="GRD"/>
      <sheetName val="GRN"/>
      <sheetName val="GLA"/>
      <sheetName val="GLE"/>
      <sheetName val="GOO"/>
      <sheetName val="HOL"/>
      <sheetName val="HOR"/>
      <sheetName val="JET"/>
      <sheetName val="LAK"/>
      <sheetName val="LINC"/>
      <sheetName val="LIND"/>
      <sheetName val="LUC"/>
      <sheetName val="MAN"/>
      <sheetName val="MEA"/>
      <sheetName val="MIN"/>
      <sheetName val="NOR"/>
      <sheetName val="OBER"/>
      <sheetName val="OSA"/>
      <sheetName val="OSW"/>
      <sheetName val="OSB"/>
      <sheetName val="OTT"/>
      <sheetName val="RUS"/>
      <sheetName val="SAF"/>
      <sheetName val="SAM"/>
      <sheetName val="SEN"/>
      <sheetName val="SHA"/>
      <sheetName val="STO"/>
      <sheetName val="TRO"/>
      <sheetName val="WAM"/>
      <sheetName val="WAS"/>
      <sheetName val="CLASS B"/>
      <sheetName val="WAPA Charges by C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09">
          <cell r="C209">
            <v>28000</v>
          </cell>
        </row>
        <row r="216">
          <cell r="C216">
            <v>178000</v>
          </cell>
          <cell r="D216">
            <v>141000</v>
          </cell>
          <cell r="E216">
            <v>153837.00000000012</v>
          </cell>
          <cell r="F216">
            <v>187000</v>
          </cell>
          <cell r="G216">
            <v>196000</v>
          </cell>
          <cell r="H216">
            <v>226000</v>
          </cell>
          <cell r="I216">
            <v>282000</v>
          </cell>
          <cell r="J216">
            <v>226000</v>
          </cell>
          <cell r="K216">
            <v>164348.99999999977</v>
          </cell>
          <cell r="L216">
            <v>167000</v>
          </cell>
          <cell r="M216">
            <v>167000</v>
          </cell>
          <cell r="N216">
            <v>183000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dora"/>
    </sheetNames>
    <sheetDataSet>
      <sheetData sheetId="0">
        <row r="8">
          <cell r="P8">
            <v>3343000</v>
          </cell>
          <cell r="T8">
            <v>751090</v>
          </cell>
        </row>
        <row r="9">
          <cell r="P9">
            <v>3067000</v>
          </cell>
          <cell r="T9">
            <v>599340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dora"/>
    </sheetNames>
    <sheetDataSet>
      <sheetData sheetId="0">
        <row r="13">
          <cell r="P13">
            <v>4216000</v>
          </cell>
          <cell r="T13">
            <v>281855</v>
          </cell>
        </row>
        <row r="14">
          <cell r="P14">
            <v>4828000</v>
          </cell>
          <cell r="T14">
            <v>143590</v>
          </cell>
        </row>
        <row r="15">
          <cell r="P15">
            <v>4787000</v>
          </cell>
          <cell r="T15">
            <v>405300</v>
          </cell>
        </row>
        <row r="16">
          <cell r="P16">
            <v>3782000</v>
          </cell>
          <cell r="T16">
            <v>614790</v>
          </cell>
        </row>
        <row r="17">
          <cell r="P17">
            <v>2785000</v>
          </cell>
          <cell r="T17">
            <v>665560</v>
          </cell>
        </row>
        <row r="18">
          <cell r="P18">
            <v>1618000</v>
          </cell>
          <cell r="T18">
            <v>1677790</v>
          </cell>
        </row>
        <row r="19">
          <cell r="P19">
            <v>3133000</v>
          </cell>
          <cell r="T19">
            <v>619040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H20" sqref="H20"/>
    </sheetView>
  </sheetViews>
  <sheetFormatPr defaultRowHeight="14.1" customHeight="1" x14ac:dyDescent="0.2"/>
  <cols>
    <col min="1" max="1" width="4.7109375" style="2" customWidth="1"/>
    <col min="2" max="2" width="1.7109375" style="2" customWidth="1"/>
    <col min="3" max="3" width="23" style="2" customWidth="1"/>
    <col min="4" max="4" width="10.42578125" style="2" bestFit="1" customWidth="1"/>
    <col min="5" max="5" width="7.42578125" style="2" customWidth="1"/>
    <col min="6" max="6" width="10" style="2" bestFit="1" customWidth="1"/>
    <col min="7" max="7" width="2.28515625" style="2" customWidth="1"/>
    <col min="8" max="8" width="11" style="2" bestFit="1" customWidth="1"/>
    <col min="9" max="9" width="1.7109375" style="2" customWidth="1"/>
    <col min="10" max="10" width="11" style="2" bestFit="1" customWidth="1"/>
    <col min="11" max="11" width="2.7109375" style="2" customWidth="1"/>
    <col min="12" max="12" width="11.5703125" style="2" bestFit="1" customWidth="1"/>
    <col min="13" max="13" width="9.42578125" style="2" bestFit="1" customWidth="1"/>
    <col min="14" max="14" width="3" style="2" customWidth="1"/>
    <col min="15" max="15" width="10.42578125" style="2" customWidth="1"/>
    <col min="16" max="16" width="2.5703125" style="2" customWidth="1"/>
    <col min="17" max="16384" width="9.140625" style="2"/>
  </cols>
  <sheetData>
    <row r="1" spans="1:15" ht="15.95" customHeight="1" x14ac:dyDescent="0.2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5" ht="15.95" customHeight="1" x14ac:dyDescent="0.2">
      <c r="A2" s="1"/>
      <c r="B2" s="91" t="s">
        <v>55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5" ht="15.95" customHeight="1" x14ac:dyDescent="0.2">
      <c r="A3" s="1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5" ht="15.95" customHeight="1" x14ac:dyDescent="0.2">
      <c r="A4" s="1"/>
      <c r="B4" s="92" t="s">
        <v>13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6" spans="1:15" ht="14.1" customHeight="1" x14ac:dyDescent="0.2">
      <c r="C6" s="3"/>
    </row>
    <row r="7" spans="1:15" ht="14.1" customHeight="1" x14ac:dyDescent="0.2">
      <c r="C7" s="3"/>
      <c r="H7" s="4"/>
      <c r="I7" s="4"/>
      <c r="J7" s="4"/>
      <c r="K7" s="4"/>
      <c r="L7" s="4" t="s">
        <v>1</v>
      </c>
    </row>
    <row r="8" spans="1:15" ht="14.1" customHeight="1" x14ac:dyDescent="0.2">
      <c r="G8"/>
      <c r="H8" s="5">
        <v>2015</v>
      </c>
      <c r="I8" s="6"/>
      <c r="J8" s="5">
        <v>2014</v>
      </c>
      <c r="K8" s="4"/>
      <c r="L8" s="7" t="s">
        <v>2</v>
      </c>
    </row>
    <row r="9" spans="1:15" ht="14.1" customHeight="1" x14ac:dyDescent="0.2">
      <c r="B9" s="8"/>
      <c r="C9" s="9" t="s">
        <v>3</v>
      </c>
      <c r="D9" s="10"/>
      <c r="E9" s="10"/>
      <c r="F9" s="10"/>
      <c r="G9"/>
      <c r="H9" s="9" t="s">
        <v>4</v>
      </c>
      <c r="I9" s="4"/>
      <c r="J9" s="9" t="s">
        <v>4</v>
      </c>
      <c r="K9" s="4"/>
      <c r="L9" s="9" t="s">
        <v>5</v>
      </c>
    </row>
    <row r="10" spans="1:15" ht="6.95" customHeight="1" x14ac:dyDescent="0.2">
      <c r="G10"/>
    </row>
    <row r="11" spans="1:15" ht="14.1" customHeight="1" x14ac:dyDescent="0.2">
      <c r="B11" s="2" t="s">
        <v>49</v>
      </c>
      <c r="G11"/>
    </row>
    <row r="12" spans="1:15" ht="14.1" customHeight="1" x14ac:dyDescent="0.2">
      <c r="C12" s="2" t="s">
        <v>37</v>
      </c>
      <c r="D12" s="12">
        <f>'Eudora Charge by City'!M10</f>
        <v>7.1</v>
      </c>
      <c r="E12" s="2" t="s">
        <v>44</v>
      </c>
      <c r="F12" s="66">
        <f>'Eudora Charge by City'!M14</f>
        <v>5000</v>
      </c>
      <c r="G12"/>
      <c r="H12" s="57">
        <f>'Eudora Charge by City'!N16</f>
        <v>484810</v>
      </c>
      <c r="J12" s="57">
        <f>[1]EUD!$H$12</f>
        <v>517000</v>
      </c>
      <c r="L12" s="57">
        <f t="shared" ref="L12" si="0">-H12+J12</f>
        <v>32190</v>
      </c>
    </row>
    <row r="13" spans="1:15" ht="14.1" customHeight="1" x14ac:dyDescent="0.2">
      <c r="G13"/>
    </row>
    <row r="14" spans="1:15" ht="14.1" customHeight="1" x14ac:dyDescent="0.2">
      <c r="B14" s="2" t="s">
        <v>6</v>
      </c>
      <c r="G14"/>
      <c r="O14" s="11"/>
    </row>
    <row r="15" spans="1:15" ht="14.1" customHeight="1" x14ac:dyDescent="0.2">
      <c r="C15" s="2" t="s">
        <v>37</v>
      </c>
      <c r="D15" s="12">
        <f>'Eudora Charge by City'!N21/1000</f>
        <v>50517.344572400005</v>
      </c>
      <c r="E15" s="2" t="s">
        <v>7</v>
      </c>
      <c r="F15" s="13">
        <f>'Eudora Charge by City'!N23</f>
        <v>39.415833333333325</v>
      </c>
      <c r="G15"/>
      <c r="H15" s="12">
        <f>'Eudora Charge by City'!N25</f>
        <v>1989259.2653574685</v>
      </c>
      <c r="J15" s="12">
        <f>[1]EUD!$H$15</f>
        <v>1740484.0077024745</v>
      </c>
      <c r="K15" s="14"/>
      <c r="L15" s="12">
        <f t="shared" ref="L15" si="1">-H15+J15</f>
        <v>-248775.25765499403</v>
      </c>
      <c r="O15" s="11"/>
    </row>
    <row r="16" spans="1:15" ht="14.1" customHeight="1" x14ac:dyDescent="0.2">
      <c r="D16" s="15"/>
      <c r="F16" s="16"/>
      <c r="G16"/>
      <c r="H16" s="12"/>
      <c r="J16" s="12"/>
      <c r="K16" s="14"/>
      <c r="L16" s="12"/>
      <c r="O16" s="11"/>
    </row>
    <row r="17" spans="2:15" ht="14.1" customHeight="1" x14ac:dyDescent="0.2">
      <c r="B17" s="2" t="s">
        <v>8</v>
      </c>
      <c r="F17" s="17"/>
      <c r="G17"/>
      <c r="H17" s="12"/>
      <c r="J17" s="12"/>
      <c r="K17" s="14"/>
      <c r="L17" s="12"/>
      <c r="O17" s="11"/>
    </row>
    <row r="18" spans="2:15" ht="12.95" customHeight="1" x14ac:dyDescent="0.2">
      <c r="C18" s="2" t="s">
        <v>9</v>
      </c>
      <c r="D18" s="15">
        <f>'Eudora Charge by City'!N29</f>
        <v>661260</v>
      </c>
      <c r="E18" s="4"/>
      <c r="F18" s="18"/>
      <c r="G18" s="19"/>
      <c r="H18" s="12">
        <f>'Eudora Charge by City'!N29</f>
        <v>661260</v>
      </c>
      <c r="J18" s="12">
        <f>[1]EUD!$H$18</f>
        <v>429431</v>
      </c>
      <c r="K18" s="14"/>
      <c r="L18" s="12">
        <f t="shared" ref="L18:L26" si="2">-H18+J18</f>
        <v>-231829</v>
      </c>
    </row>
    <row r="19" spans="2:15" ht="14.1" customHeight="1" x14ac:dyDescent="0.2">
      <c r="F19" s="17"/>
      <c r="G19"/>
      <c r="H19" s="12"/>
      <c r="J19" s="12"/>
      <c r="K19" s="14"/>
      <c r="L19" s="12"/>
    </row>
    <row r="20" spans="2:15" ht="14.1" customHeight="1" x14ac:dyDescent="0.2">
      <c r="B20" s="20" t="s">
        <v>10</v>
      </c>
      <c r="D20" s="15">
        <f>[2]Alloc!$N$22</f>
        <v>103352</v>
      </c>
      <c r="E20" s="4"/>
      <c r="F20" s="21"/>
      <c r="G20" s="19"/>
      <c r="H20" s="22">
        <f>D20</f>
        <v>103352</v>
      </c>
      <c r="J20" s="12">
        <f>[1]EUD!$H$20</f>
        <v>85967</v>
      </c>
      <c r="L20" s="12">
        <f t="shared" si="2"/>
        <v>-17385</v>
      </c>
    </row>
    <row r="21" spans="2:15" ht="14.1" customHeight="1" x14ac:dyDescent="0.2">
      <c r="B21" s="20"/>
      <c r="D21" s="15"/>
      <c r="E21" s="4"/>
      <c r="F21" s="21"/>
      <c r="G21" s="19"/>
      <c r="H21" s="22"/>
      <c r="J21" s="12"/>
      <c r="L21" s="12"/>
    </row>
    <row r="22" spans="2:15" ht="14.1" customHeight="1" x14ac:dyDescent="0.2">
      <c r="B22" s="20" t="s">
        <v>50</v>
      </c>
      <c r="D22" s="15"/>
      <c r="E22" s="4"/>
      <c r="F22" s="21"/>
      <c r="G22" s="19"/>
      <c r="H22" s="22">
        <f>'Eudora Charge by City'!N34</f>
        <v>17190</v>
      </c>
      <c r="J22" s="12">
        <f>[1]EUD!$H$22</f>
        <v>16629.538222500003</v>
      </c>
      <c r="L22" s="12">
        <f t="shared" si="2"/>
        <v>-560.46177749999697</v>
      </c>
    </row>
    <row r="23" spans="2:15" ht="14.1" customHeight="1" x14ac:dyDescent="0.2">
      <c r="B23" s="20"/>
      <c r="D23" s="15"/>
      <c r="E23" s="4"/>
      <c r="F23" s="18"/>
      <c r="G23" s="19"/>
      <c r="H23" s="22"/>
      <c r="J23" s="12"/>
      <c r="L23" s="23"/>
    </row>
    <row r="24" spans="2:15" ht="18" customHeight="1" x14ac:dyDescent="0.2">
      <c r="B24" s="2" t="s">
        <v>11</v>
      </c>
      <c r="G24"/>
      <c r="H24" s="24">
        <f>+SUM(H11:H23)</f>
        <v>3255871.2653574683</v>
      </c>
      <c r="J24" s="25">
        <f>+SUM(J11:J23)</f>
        <v>2789511.5459249746</v>
      </c>
      <c r="L24" s="12">
        <f t="shared" si="2"/>
        <v>-466359.71943249367</v>
      </c>
    </row>
    <row r="25" spans="2:15" ht="18" customHeight="1" x14ac:dyDescent="0.2">
      <c r="G25"/>
      <c r="L25" s="10"/>
    </row>
    <row r="26" spans="2:15" ht="32.1" customHeight="1" thickBot="1" x14ac:dyDescent="0.25">
      <c r="B26" s="58" t="s">
        <v>12</v>
      </c>
      <c r="F26" s="26"/>
      <c r="G26"/>
      <c r="H26" s="59">
        <f>H24</f>
        <v>3255871.2653574683</v>
      </c>
      <c r="I26" s="58"/>
      <c r="J26" s="59">
        <f>J24</f>
        <v>2789511.5459249746</v>
      </c>
      <c r="K26" s="58"/>
      <c r="L26" s="59">
        <f t="shared" si="2"/>
        <v>-466359.71943249367</v>
      </c>
    </row>
    <row r="27" spans="2:15" ht="14.1" customHeight="1" thickTop="1" x14ac:dyDescent="0.2">
      <c r="G27"/>
    </row>
    <row r="28" spans="2:15" ht="14.1" customHeight="1" x14ac:dyDescent="0.2">
      <c r="G28"/>
    </row>
    <row r="29" spans="2:15" ht="14.1" customHeight="1" x14ac:dyDescent="0.2">
      <c r="C29" s="27"/>
      <c r="D29" s="27"/>
      <c r="E29" s="27"/>
      <c r="F29" s="27"/>
      <c r="G29"/>
      <c r="H29" s="28"/>
    </row>
    <row r="30" spans="2:15" ht="14.1" customHeight="1" x14ac:dyDescent="0.2">
      <c r="C30" s="68" t="s">
        <v>52</v>
      </c>
      <c r="G30"/>
    </row>
    <row r="31" spans="2:15" ht="14.1" customHeight="1" x14ac:dyDescent="0.2">
      <c r="C31" s="2" t="s">
        <v>53</v>
      </c>
    </row>
    <row r="33" spans="3:12" ht="14.1" customHeight="1" x14ac:dyDescent="0.2">
      <c r="D33" s="70" t="s">
        <v>56</v>
      </c>
      <c r="E33" s="24"/>
      <c r="F33" s="71"/>
      <c r="G33" s="72"/>
      <c r="H33" s="24"/>
      <c r="I33" s="24"/>
      <c r="J33" s="24"/>
      <c r="K33" s="24"/>
      <c r="L33" s="73"/>
    </row>
    <row r="34" spans="3:12" ht="14.1" customHeight="1" x14ac:dyDescent="0.2">
      <c r="C34" s="29"/>
      <c r="D34" s="74" t="s">
        <v>63</v>
      </c>
      <c r="E34" s="11"/>
      <c r="F34" s="75"/>
      <c r="G34" s="76"/>
      <c r="H34" s="11"/>
      <c r="I34" s="11"/>
      <c r="J34" s="11"/>
      <c r="K34" s="11"/>
      <c r="L34" s="77"/>
    </row>
    <row r="35" spans="3:12" ht="14.1" customHeight="1" x14ac:dyDescent="0.2">
      <c r="D35" s="74"/>
      <c r="E35" s="11"/>
      <c r="F35" s="75"/>
      <c r="G35" s="76"/>
      <c r="H35" s="11"/>
      <c r="I35" s="11"/>
      <c r="J35" s="11"/>
      <c r="K35" s="11"/>
      <c r="L35" s="77"/>
    </row>
    <row r="36" spans="3:12" ht="14.1" customHeight="1" x14ac:dyDescent="0.2">
      <c r="D36" s="86" t="s">
        <v>57</v>
      </c>
      <c r="E36" s="83"/>
      <c r="F36" s="84"/>
      <c r="G36" s="83"/>
      <c r="H36" s="83"/>
      <c r="I36" s="83"/>
      <c r="J36" s="83"/>
      <c r="K36" s="85"/>
      <c r="L36" s="77"/>
    </row>
    <row r="37" spans="3:12" ht="14.1" customHeight="1" x14ac:dyDescent="0.2">
      <c r="D37" s="74"/>
      <c r="E37" s="11"/>
      <c r="F37" s="75"/>
      <c r="G37" s="76"/>
      <c r="H37" s="11"/>
      <c r="I37" s="11"/>
      <c r="J37" s="11"/>
      <c r="K37" s="11"/>
      <c r="L37" s="77"/>
    </row>
    <row r="38" spans="3:12" ht="14.1" customHeight="1" x14ac:dyDescent="0.2">
      <c r="D38" s="74"/>
      <c r="E38" s="11"/>
      <c r="F38" s="75"/>
      <c r="G38" s="76"/>
      <c r="H38" s="11"/>
      <c r="I38" s="11"/>
      <c r="J38" s="11"/>
      <c r="K38" s="11"/>
      <c r="L38" s="77"/>
    </row>
    <row r="39" spans="3:12" ht="14.1" customHeight="1" x14ac:dyDescent="0.2">
      <c r="D39" s="74"/>
      <c r="E39" s="11"/>
      <c r="F39" s="75"/>
      <c r="G39" s="76"/>
      <c r="H39" s="11"/>
      <c r="I39" s="11"/>
      <c r="J39" s="11"/>
      <c r="K39" s="11"/>
      <c r="L39" s="77"/>
    </row>
    <row r="40" spans="3:12" ht="14.1" customHeight="1" x14ac:dyDescent="0.2">
      <c r="D40" s="74"/>
      <c r="E40" s="11"/>
      <c r="F40" s="75"/>
      <c r="G40" s="76"/>
      <c r="H40" s="11"/>
      <c r="I40" s="11"/>
      <c r="J40" s="11"/>
      <c r="K40" s="11"/>
      <c r="L40" s="77"/>
    </row>
    <row r="41" spans="3:12" ht="14.1" customHeight="1" x14ac:dyDescent="0.2">
      <c r="D41" s="74"/>
      <c r="E41" s="11"/>
      <c r="F41" s="11"/>
      <c r="G41" s="76"/>
      <c r="H41" s="11"/>
      <c r="I41" s="11"/>
      <c r="J41" s="11"/>
      <c r="K41" s="11"/>
      <c r="L41" s="78"/>
    </row>
    <row r="42" spans="3:12" ht="14.1" customHeight="1" x14ac:dyDescent="0.2">
      <c r="D42" s="79"/>
      <c r="E42" s="10"/>
      <c r="F42" s="80"/>
      <c r="G42" s="81"/>
      <c r="H42" s="10"/>
      <c r="I42" s="10"/>
      <c r="J42" s="10"/>
      <c r="K42" s="10"/>
      <c r="L42" s="82"/>
    </row>
  </sheetData>
  <mergeCells count="4">
    <mergeCell ref="B1:L1"/>
    <mergeCell ref="B2:L2"/>
    <mergeCell ref="B3:L3"/>
    <mergeCell ref="B4:L4"/>
  </mergeCells>
  <pageMargins left="0.75" right="0.75" top="0.75" bottom="0.75" header="0.5" footer="0.2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workbookViewId="0">
      <selection activeCell="B34" sqref="B34"/>
    </sheetView>
  </sheetViews>
  <sheetFormatPr defaultRowHeight="12.75" x14ac:dyDescent="0.2"/>
  <cols>
    <col min="1" max="1" width="26.28515625" customWidth="1"/>
    <col min="2" max="7" width="11.28515625" bestFit="1" customWidth="1"/>
    <col min="8" max="8" width="11.7109375" bestFit="1" customWidth="1"/>
    <col min="9" max="13" width="11.28515625" bestFit="1" customWidth="1"/>
    <col min="14" max="14" width="12.28515625" bestFit="1" customWidth="1"/>
    <col min="15" max="15" width="15.42578125" bestFit="1" customWidth="1"/>
    <col min="17" max="17" width="12.42578125" bestFit="1" customWidth="1"/>
  </cols>
  <sheetData>
    <row r="1" spans="1:15" x14ac:dyDescent="0.2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0"/>
    </row>
    <row r="2" spans="1:15" x14ac:dyDescent="0.2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0"/>
    </row>
    <row r="3" spans="1:15" x14ac:dyDescent="0.2">
      <c r="A3" s="94" t="s">
        <v>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0"/>
    </row>
    <row r="4" spans="1:15" x14ac:dyDescent="0.2">
      <c r="A4" s="31"/>
      <c r="B4" s="30"/>
      <c r="C4" s="32"/>
      <c r="D4" s="32"/>
      <c r="E4" s="32"/>
      <c r="F4" s="32"/>
      <c r="G4" s="32"/>
      <c r="H4" s="32"/>
      <c r="I4" s="32"/>
      <c r="J4" s="30"/>
      <c r="K4" s="30"/>
      <c r="L4" s="30"/>
      <c r="M4" s="30"/>
      <c r="N4" s="30"/>
      <c r="O4" s="30"/>
    </row>
    <row r="5" spans="1:15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5" x14ac:dyDescent="0.2">
      <c r="B7" s="94" t="s">
        <v>38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30"/>
    </row>
    <row r="8" spans="1:15" ht="15" x14ac:dyDescent="0.35">
      <c r="B8" s="34" t="s">
        <v>15</v>
      </c>
      <c r="C8" s="34" t="s">
        <v>16</v>
      </c>
      <c r="D8" s="34" t="s">
        <v>17</v>
      </c>
      <c r="E8" s="34" t="s">
        <v>18</v>
      </c>
      <c r="F8" s="34" t="s">
        <v>19</v>
      </c>
      <c r="G8" s="34" t="s">
        <v>20</v>
      </c>
      <c r="H8" s="34" t="s">
        <v>21</v>
      </c>
      <c r="I8" s="34" t="s">
        <v>22</v>
      </c>
      <c r="J8" s="34" t="s">
        <v>23</v>
      </c>
      <c r="K8" s="34" t="s">
        <v>24</v>
      </c>
      <c r="L8" s="34" t="s">
        <v>25</v>
      </c>
      <c r="M8" s="34" t="s">
        <v>26</v>
      </c>
      <c r="N8" s="35" t="s">
        <v>27</v>
      </c>
    </row>
    <row r="9" spans="1:15" ht="15" x14ac:dyDescent="0.35">
      <c r="A9" s="63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1:15" ht="15" x14ac:dyDescent="0.35">
      <c r="A10" t="s">
        <v>44</v>
      </c>
      <c r="B10" s="65">
        <v>7</v>
      </c>
      <c r="C10" s="65">
        <v>7.4</v>
      </c>
      <c r="D10" s="65">
        <v>6.2</v>
      </c>
      <c r="E10" s="65">
        <v>6</v>
      </c>
      <c r="F10" s="65">
        <v>7.7</v>
      </c>
      <c r="G10" s="65">
        <v>11.7</v>
      </c>
      <c r="H10" s="65">
        <v>12.6</v>
      </c>
      <c r="I10" s="65">
        <v>13.5</v>
      </c>
      <c r="J10" s="65">
        <v>10.7</v>
      </c>
      <c r="K10" s="65">
        <v>6.9</v>
      </c>
      <c r="L10" s="65">
        <v>6.6</v>
      </c>
      <c r="M10" s="65">
        <v>7.1</v>
      </c>
      <c r="N10" s="35"/>
    </row>
    <row r="11" spans="1:15" ht="15" x14ac:dyDescent="0.35">
      <c r="A11" t="s">
        <v>59</v>
      </c>
      <c r="B11" s="88">
        <v>-0.46600000000000003</v>
      </c>
      <c r="C11" s="88">
        <v>-0.46600000000000003</v>
      </c>
      <c r="D11" s="88">
        <v>-0.46600000000000003</v>
      </c>
      <c r="E11" s="88">
        <v>-0.60699999999999998</v>
      </c>
      <c r="F11" s="88">
        <v>-0.60699999999999998</v>
      </c>
      <c r="G11" s="88">
        <v>-0.60699999999999998</v>
      </c>
      <c r="H11" s="88">
        <v>-0.60699999999999998</v>
      </c>
      <c r="I11" s="88">
        <v>-0.60699999999999998</v>
      </c>
      <c r="J11" s="88">
        <v>-0.60699999999999998</v>
      </c>
      <c r="K11" s="88">
        <v>-0.46600000000000003</v>
      </c>
      <c r="L11" s="88">
        <v>-0.46600000000000003</v>
      </c>
      <c r="M11" s="88">
        <v>-0.46600000000000003</v>
      </c>
      <c r="N11" s="35"/>
    </row>
    <row r="12" spans="1:15" ht="15" x14ac:dyDescent="0.35">
      <c r="A12" t="s">
        <v>60</v>
      </c>
      <c r="B12" s="65">
        <f>SUM(B10:B11)</f>
        <v>6.5339999999999998</v>
      </c>
      <c r="C12" s="65">
        <f t="shared" ref="C12:M12" si="0">SUM(C10:C11)</f>
        <v>6.9340000000000002</v>
      </c>
      <c r="D12" s="65">
        <f t="shared" si="0"/>
        <v>5.734</v>
      </c>
      <c r="E12" s="65">
        <f t="shared" si="0"/>
        <v>5.3929999999999998</v>
      </c>
      <c r="F12" s="65">
        <f t="shared" si="0"/>
        <v>7.093</v>
      </c>
      <c r="G12" s="65">
        <f t="shared" si="0"/>
        <v>11.093</v>
      </c>
      <c r="H12" s="65">
        <f t="shared" si="0"/>
        <v>11.993</v>
      </c>
      <c r="I12" s="65">
        <f t="shared" si="0"/>
        <v>12.893000000000001</v>
      </c>
      <c r="J12" s="65">
        <f t="shared" si="0"/>
        <v>10.093</v>
      </c>
      <c r="K12" s="65">
        <f t="shared" si="0"/>
        <v>6.4340000000000002</v>
      </c>
      <c r="L12" s="65">
        <f t="shared" si="0"/>
        <v>6.1339999999999995</v>
      </c>
      <c r="M12" s="65">
        <f t="shared" si="0"/>
        <v>6.6339999999999995</v>
      </c>
      <c r="N12" s="35"/>
    </row>
    <row r="13" spans="1:15" ht="15" x14ac:dyDescent="0.3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35"/>
    </row>
    <row r="14" spans="1:15" ht="15" x14ac:dyDescent="0.35">
      <c r="A14" t="s">
        <v>45</v>
      </c>
      <c r="B14" s="61">
        <v>5000</v>
      </c>
      <c r="C14" s="61">
        <v>5000</v>
      </c>
      <c r="D14" s="61">
        <v>5000</v>
      </c>
      <c r="E14" s="61">
        <v>5000</v>
      </c>
      <c r="F14" s="61">
        <v>5000</v>
      </c>
      <c r="G14" s="61">
        <v>5000</v>
      </c>
      <c r="H14" s="61">
        <v>5000</v>
      </c>
      <c r="I14" s="61">
        <v>5000</v>
      </c>
      <c r="J14" s="61">
        <v>5000</v>
      </c>
      <c r="K14" s="61">
        <v>5000</v>
      </c>
      <c r="L14" s="61">
        <v>5000</v>
      </c>
      <c r="M14" s="61">
        <v>5000</v>
      </c>
      <c r="N14" s="64"/>
    </row>
    <row r="15" spans="1:15" ht="15" x14ac:dyDescent="0.35">
      <c r="A15" t="s">
        <v>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35"/>
    </row>
    <row r="16" spans="1:15" x14ac:dyDescent="0.2">
      <c r="A16" t="s">
        <v>48</v>
      </c>
      <c r="B16" s="89">
        <f>B12*B14</f>
        <v>32670</v>
      </c>
      <c r="C16" s="89">
        <f t="shared" ref="C16:M16" si="1">C12*C14</f>
        <v>34670</v>
      </c>
      <c r="D16" s="89">
        <f t="shared" si="1"/>
        <v>28670</v>
      </c>
      <c r="E16" s="89">
        <f t="shared" si="1"/>
        <v>26965</v>
      </c>
      <c r="F16" s="89">
        <f t="shared" si="1"/>
        <v>35465</v>
      </c>
      <c r="G16" s="89">
        <f t="shared" si="1"/>
        <v>55465</v>
      </c>
      <c r="H16" s="89">
        <f t="shared" si="1"/>
        <v>59965</v>
      </c>
      <c r="I16" s="89">
        <f t="shared" si="1"/>
        <v>64465</v>
      </c>
      <c r="J16" s="89">
        <f t="shared" si="1"/>
        <v>50465</v>
      </c>
      <c r="K16" s="89">
        <f t="shared" si="1"/>
        <v>32170</v>
      </c>
      <c r="L16" s="89">
        <f t="shared" si="1"/>
        <v>30669.999999999996</v>
      </c>
      <c r="M16" s="89">
        <f t="shared" si="1"/>
        <v>33170</v>
      </c>
      <c r="N16" s="89">
        <f>SUM(B16:M16)</f>
        <v>484810</v>
      </c>
    </row>
    <row r="17" spans="1:17" ht="15" x14ac:dyDescent="0.3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7" ht="15" x14ac:dyDescent="0.35">
      <c r="A18" s="63" t="s">
        <v>42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7" x14ac:dyDescent="0.2">
      <c r="A19" t="s">
        <v>36</v>
      </c>
      <c r="B19" s="36">
        <f>'Eudora Load'!C6*1000</f>
        <v>4094090</v>
      </c>
      <c r="C19" s="36">
        <f>'Eudora Load'!C7*1000</f>
        <v>3666340</v>
      </c>
      <c r="D19" s="36">
        <f>'Eudora Load'!C8*1000</f>
        <v>5988569.9942999994</v>
      </c>
      <c r="E19" s="36">
        <f>'Eudora Load'!C9*1000</f>
        <v>5497725.0977000017</v>
      </c>
      <c r="F19" s="36">
        <f>'Eudora Load'!C10*1000</f>
        <v>3984880.4804000016</v>
      </c>
      <c r="G19" s="36">
        <f>'Eudora Load'!C11*1000</f>
        <v>4497855</v>
      </c>
      <c r="H19" s="36">
        <f>'Eudora Load'!C12*1000</f>
        <v>4971590</v>
      </c>
      <c r="I19" s="36">
        <f>'Eudora Load'!C13*1000</f>
        <v>5192300</v>
      </c>
      <c r="J19" s="36">
        <f>'Eudora Load'!C14*1000</f>
        <v>4396790</v>
      </c>
      <c r="K19" s="36">
        <f>'Eudora Load'!C15*1000</f>
        <v>3450560</v>
      </c>
      <c r="L19" s="36">
        <f>'Eudora Load'!C16*1000</f>
        <v>3295790</v>
      </c>
      <c r="M19" s="36">
        <f>'Eudora Load'!C17*1000</f>
        <v>3752040</v>
      </c>
      <c r="N19" s="33">
        <f>SUM(B19:M19)</f>
        <v>52788530.572400004</v>
      </c>
    </row>
    <row r="20" spans="1:17" x14ac:dyDescent="0.2">
      <c r="A20" t="s">
        <v>39</v>
      </c>
      <c r="B20" s="60">
        <f>-'[3]WAPA Charges by City'!$C$216</f>
        <v>-178000</v>
      </c>
      <c r="C20" s="60">
        <f>-'[3]WAPA Charges by City'!$D$216</f>
        <v>-141000</v>
      </c>
      <c r="D20" s="60">
        <f>-'[3]WAPA Charges by City'!$E$216</f>
        <v>-153837.00000000012</v>
      </c>
      <c r="E20" s="60">
        <f>-'[3]WAPA Charges by City'!$F$216</f>
        <v>-187000</v>
      </c>
      <c r="F20" s="60">
        <f>-'[3]WAPA Charges by City'!$G$216</f>
        <v>-196000</v>
      </c>
      <c r="G20" s="60">
        <f>-'[3]WAPA Charges by City'!$H$216</f>
        <v>-226000</v>
      </c>
      <c r="H20" s="60">
        <f>-'[3]WAPA Charges by City'!$I$216</f>
        <v>-282000</v>
      </c>
      <c r="I20" s="60">
        <f>-'[3]WAPA Charges by City'!$J$216</f>
        <v>-226000</v>
      </c>
      <c r="J20" s="60">
        <f>-'[3]WAPA Charges by City'!$K$216</f>
        <v>-164348.99999999977</v>
      </c>
      <c r="K20" s="60">
        <f>-'[3]WAPA Charges by City'!$L$216</f>
        <v>-167000</v>
      </c>
      <c r="L20" s="60">
        <f>-'[3]WAPA Charges by City'!$M$216</f>
        <v>-167000</v>
      </c>
      <c r="M20" s="60">
        <f>-'[3]WAPA Charges by City'!$N$216</f>
        <v>-183000</v>
      </c>
      <c r="N20" s="61">
        <f>SUM(B20:M20)</f>
        <v>-2271186</v>
      </c>
    </row>
    <row r="21" spans="1:17" x14ac:dyDescent="0.2">
      <c r="A21" s="19" t="s">
        <v>40</v>
      </c>
      <c r="B21" s="36">
        <f>SUM(B19:B20)</f>
        <v>3916090</v>
      </c>
      <c r="C21" s="36">
        <f t="shared" ref="C21:M21" si="2">SUM(C19:C20)</f>
        <v>3525340</v>
      </c>
      <c r="D21" s="36">
        <f t="shared" si="2"/>
        <v>5834732.9942999994</v>
      </c>
      <c r="E21" s="36">
        <f t="shared" si="2"/>
        <v>5310725.0977000017</v>
      </c>
      <c r="F21" s="36">
        <f t="shared" si="2"/>
        <v>3788880.4804000016</v>
      </c>
      <c r="G21" s="36">
        <f t="shared" si="2"/>
        <v>4271855</v>
      </c>
      <c r="H21" s="36">
        <f t="shared" si="2"/>
        <v>4689590</v>
      </c>
      <c r="I21" s="36">
        <f t="shared" si="2"/>
        <v>4966300</v>
      </c>
      <c r="J21" s="36">
        <f t="shared" si="2"/>
        <v>4232441</v>
      </c>
      <c r="K21" s="36">
        <f t="shared" si="2"/>
        <v>3283560</v>
      </c>
      <c r="L21" s="36">
        <f t="shared" si="2"/>
        <v>3128790</v>
      </c>
      <c r="M21" s="36">
        <f t="shared" si="2"/>
        <v>3569040</v>
      </c>
      <c r="N21" s="36">
        <f>SUM(N19:N20)</f>
        <v>50517344.572400004</v>
      </c>
      <c r="O21" s="37"/>
    </row>
    <row r="22" spans="1:17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7" x14ac:dyDescent="0.2">
      <c r="A23" s="38" t="s">
        <v>41</v>
      </c>
      <c r="B23" s="39">
        <v>38.57</v>
      </c>
      <c r="C23" s="39">
        <v>38.57</v>
      </c>
      <c r="D23" s="39">
        <v>38.57</v>
      </c>
      <c r="E23" s="39">
        <v>38.57</v>
      </c>
      <c r="F23" s="39">
        <v>38.57</v>
      </c>
      <c r="G23" s="39">
        <v>40.020000000000003</v>
      </c>
      <c r="H23" s="39">
        <v>40.020000000000003</v>
      </c>
      <c r="I23" s="39">
        <v>40.020000000000003</v>
      </c>
      <c r="J23" s="39">
        <v>40.020000000000003</v>
      </c>
      <c r="K23" s="39">
        <v>40.020000000000003</v>
      </c>
      <c r="L23" s="39">
        <v>40.020000000000003</v>
      </c>
      <c r="M23" s="39">
        <v>40.020000000000003</v>
      </c>
      <c r="N23" s="40">
        <f>SUM(B23:M23)/12</f>
        <v>39.415833333333325</v>
      </c>
      <c r="O23" s="41"/>
      <c r="Q23" s="42"/>
    </row>
    <row r="24" spans="1:17" x14ac:dyDescent="0.2">
      <c r="A24" s="87" t="s">
        <v>58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1"/>
    </row>
    <row r="25" spans="1:17" x14ac:dyDescent="0.2">
      <c r="A25" s="43" t="s">
        <v>35</v>
      </c>
      <c r="B25" s="44">
        <f t="shared" ref="B25:M25" si="3">(B21/1000)*B23</f>
        <v>151043.5913</v>
      </c>
      <c r="C25" s="44">
        <f t="shared" si="3"/>
        <v>135972.36380000002</v>
      </c>
      <c r="D25" s="44">
        <f t="shared" si="3"/>
        <v>225045.65159015098</v>
      </c>
      <c r="E25" s="44">
        <f t="shared" si="3"/>
        <v>204834.66701828904</v>
      </c>
      <c r="F25" s="44">
        <f t="shared" si="3"/>
        <v>146137.12012902804</v>
      </c>
      <c r="G25" s="44">
        <f t="shared" si="3"/>
        <v>170959.63709999999</v>
      </c>
      <c r="H25" s="44">
        <f t="shared" si="3"/>
        <v>187677.39180000001</v>
      </c>
      <c r="I25" s="44">
        <f t="shared" si="3"/>
        <v>198751.32600000003</v>
      </c>
      <c r="J25" s="44">
        <f t="shared" si="3"/>
        <v>169382.28882000002</v>
      </c>
      <c r="K25" s="44">
        <f t="shared" si="3"/>
        <v>131408.07120000001</v>
      </c>
      <c r="L25" s="44">
        <f t="shared" si="3"/>
        <v>125214.17580000001</v>
      </c>
      <c r="M25" s="44">
        <f t="shared" si="3"/>
        <v>142832.98080000002</v>
      </c>
      <c r="N25" s="44">
        <f>SUM(B25:M25)</f>
        <v>1989259.2653574685</v>
      </c>
    </row>
    <row r="27" spans="1:17" x14ac:dyDescent="0.2">
      <c r="A27" s="46"/>
      <c r="B27" s="93" t="s">
        <v>28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46"/>
    </row>
    <row r="28" spans="1:17" ht="15" x14ac:dyDescent="0.35">
      <c r="A28" s="46"/>
      <c r="B28" s="47" t="str">
        <f t="shared" ref="B28:M28" si="4">B8</f>
        <v>Jan</v>
      </c>
      <c r="C28" s="47" t="str">
        <f t="shared" si="4"/>
        <v>Feb</v>
      </c>
      <c r="D28" s="47" t="str">
        <f t="shared" si="4"/>
        <v>Mar</v>
      </c>
      <c r="E28" s="47" t="str">
        <f t="shared" si="4"/>
        <v>Apr</v>
      </c>
      <c r="F28" s="47" t="str">
        <f t="shared" si="4"/>
        <v>May</v>
      </c>
      <c r="G28" s="47" t="str">
        <f t="shared" si="4"/>
        <v>Jun</v>
      </c>
      <c r="H28" s="47" t="str">
        <f t="shared" si="4"/>
        <v>Jul</v>
      </c>
      <c r="I28" s="47" t="str">
        <f t="shared" si="4"/>
        <v>Aug</v>
      </c>
      <c r="J28" s="47" t="str">
        <f t="shared" si="4"/>
        <v>Sep</v>
      </c>
      <c r="K28" s="47" t="str">
        <f t="shared" si="4"/>
        <v>Oct</v>
      </c>
      <c r="L28" s="47" t="str">
        <f t="shared" si="4"/>
        <v>Nov</v>
      </c>
      <c r="M28" s="47" t="str">
        <f t="shared" si="4"/>
        <v>Dec</v>
      </c>
      <c r="N28" s="48" t="s">
        <v>27</v>
      </c>
    </row>
    <row r="29" spans="1:17" x14ac:dyDescent="0.2">
      <c r="A29" s="19" t="s">
        <v>61</v>
      </c>
      <c r="B29" s="49">
        <f>53500*1.03</f>
        <v>55105</v>
      </c>
      <c r="C29" s="49">
        <f t="shared" ref="C29:M29" si="5">53500*1.03</f>
        <v>55105</v>
      </c>
      <c r="D29" s="49">
        <f t="shared" si="5"/>
        <v>55105</v>
      </c>
      <c r="E29" s="49">
        <f t="shared" si="5"/>
        <v>55105</v>
      </c>
      <c r="F29" s="49">
        <f t="shared" si="5"/>
        <v>55105</v>
      </c>
      <c r="G29" s="49">
        <f t="shared" si="5"/>
        <v>55105</v>
      </c>
      <c r="H29" s="49">
        <f t="shared" si="5"/>
        <v>55105</v>
      </c>
      <c r="I29" s="49">
        <f t="shared" si="5"/>
        <v>55105</v>
      </c>
      <c r="J29" s="49">
        <f t="shared" si="5"/>
        <v>55105</v>
      </c>
      <c r="K29" s="49">
        <f t="shared" si="5"/>
        <v>55105</v>
      </c>
      <c r="L29" s="49">
        <f t="shared" si="5"/>
        <v>55105</v>
      </c>
      <c r="M29" s="49">
        <f t="shared" si="5"/>
        <v>55105</v>
      </c>
      <c r="N29" s="44">
        <f>SUM(B29:M29)</f>
        <v>661260</v>
      </c>
    </row>
    <row r="30" spans="1:17" x14ac:dyDescent="0.2">
      <c r="A30" t="s">
        <v>62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7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46"/>
      <c r="B32" s="93" t="s">
        <v>51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46"/>
    </row>
    <row r="33" spans="1:14" ht="15" x14ac:dyDescent="0.35">
      <c r="A33" s="46"/>
      <c r="B33" s="47" t="str">
        <f t="shared" ref="B33:M33" si="6">B8</f>
        <v>Jan</v>
      </c>
      <c r="C33" s="47" t="str">
        <f t="shared" si="6"/>
        <v>Feb</v>
      </c>
      <c r="D33" s="47" t="str">
        <f t="shared" si="6"/>
        <v>Mar</v>
      </c>
      <c r="E33" s="47" t="str">
        <f t="shared" si="6"/>
        <v>Apr</v>
      </c>
      <c r="F33" s="47" t="str">
        <f t="shared" si="6"/>
        <v>May</v>
      </c>
      <c r="G33" s="47" t="str">
        <f t="shared" si="6"/>
        <v>Jun</v>
      </c>
      <c r="H33" s="47" t="str">
        <f t="shared" si="6"/>
        <v>Jul</v>
      </c>
      <c r="I33" s="47" t="str">
        <f t="shared" si="6"/>
        <v>Aug</v>
      </c>
      <c r="J33" s="47" t="str">
        <f t="shared" si="6"/>
        <v>Sep</v>
      </c>
      <c r="K33" s="47" t="str">
        <f t="shared" si="6"/>
        <v>Oct</v>
      </c>
      <c r="L33" s="47" t="str">
        <f t="shared" si="6"/>
        <v>Nov</v>
      </c>
      <c r="M33" s="47" t="str">
        <f t="shared" si="6"/>
        <v>Dec</v>
      </c>
      <c r="N33" s="48" t="s">
        <v>27</v>
      </c>
    </row>
    <row r="34" spans="1:14" x14ac:dyDescent="0.2">
      <c r="A34" s="19" t="s">
        <v>50</v>
      </c>
      <c r="B34" s="67">
        <v>1400</v>
      </c>
      <c r="C34" s="67">
        <v>1790</v>
      </c>
      <c r="D34" s="67">
        <v>1400</v>
      </c>
      <c r="E34" s="67">
        <v>1400</v>
      </c>
      <c r="F34" s="67">
        <v>1400</v>
      </c>
      <c r="G34" s="67">
        <v>1400</v>
      </c>
      <c r="H34" s="67">
        <v>1400</v>
      </c>
      <c r="I34" s="67">
        <v>1400</v>
      </c>
      <c r="J34" s="67">
        <v>1400</v>
      </c>
      <c r="K34" s="67">
        <v>1400</v>
      </c>
      <c r="L34" s="67">
        <v>1400</v>
      </c>
      <c r="M34" s="67">
        <v>1400</v>
      </c>
      <c r="N34" s="44">
        <f>SUM(B34:M34)</f>
        <v>17190</v>
      </c>
    </row>
    <row r="35" spans="1:14" x14ac:dyDescent="0.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" x14ac:dyDescent="0.35">
      <c r="A38" s="50" t="s">
        <v>29</v>
      </c>
      <c r="B38" s="47" t="str">
        <f>B28</f>
        <v>Jan</v>
      </c>
      <c r="C38" s="47" t="str">
        <f t="shared" ref="C38:M38" si="7">C28</f>
        <v>Feb</v>
      </c>
      <c r="D38" s="47" t="str">
        <f t="shared" si="7"/>
        <v>Mar</v>
      </c>
      <c r="E38" s="47" t="str">
        <f t="shared" si="7"/>
        <v>Apr</v>
      </c>
      <c r="F38" s="47" t="str">
        <f t="shared" si="7"/>
        <v>May</v>
      </c>
      <c r="G38" s="47" t="str">
        <f t="shared" si="7"/>
        <v>Jun</v>
      </c>
      <c r="H38" s="47" t="str">
        <f t="shared" si="7"/>
        <v>Jul</v>
      </c>
      <c r="I38" s="47" t="str">
        <f t="shared" si="7"/>
        <v>Aug</v>
      </c>
      <c r="J38" s="47" t="str">
        <f t="shared" si="7"/>
        <v>Sep</v>
      </c>
      <c r="K38" s="47" t="str">
        <f t="shared" si="7"/>
        <v>Oct</v>
      </c>
      <c r="L38" s="47" t="str">
        <f t="shared" si="7"/>
        <v>Nov</v>
      </c>
      <c r="M38" s="47" t="str">
        <f t="shared" si="7"/>
        <v>Dec</v>
      </c>
      <c r="N38" s="48" t="s">
        <v>27</v>
      </c>
    </row>
    <row r="39" spans="1:14" x14ac:dyDescent="0.2">
      <c r="A39" s="19" t="s">
        <v>43</v>
      </c>
      <c r="B39" s="44">
        <f>B16</f>
        <v>32670</v>
      </c>
      <c r="C39" s="44">
        <f t="shared" ref="C39:M39" si="8">C16</f>
        <v>34670</v>
      </c>
      <c r="D39" s="44">
        <f t="shared" si="8"/>
        <v>28670</v>
      </c>
      <c r="E39" s="44">
        <f t="shared" si="8"/>
        <v>26965</v>
      </c>
      <c r="F39" s="44">
        <f t="shared" si="8"/>
        <v>35465</v>
      </c>
      <c r="G39" s="44">
        <f t="shared" si="8"/>
        <v>55465</v>
      </c>
      <c r="H39" s="44">
        <f t="shared" si="8"/>
        <v>59965</v>
      </c>
      <c r="I39" s="44">
        <f t="shared" si="8"/>
        <v>64465</v>
      </c>
      <c r="J39" s="44">
        <f t="shared" si="8"/>
        <v>50465</v>
      </c>
      <c r="K39" s="44">
        <f t="shared" si="8"/>
        <v>32170</v>
      </c>
      <c r="L39" s="44">
        <f t="shared" si="8"/>
        <v>30669.999999999996</v>
      </c>
      <c r="M39" s="44">
        <f t="shared" si="8"/>
        <v>33170</v>
      </c>
      <c r="N39" s="44">
        <f>SUM(B39:M39)</f>
        <v>484810</v>
      </c>
    </row>
    <row r="40" spans="1:14" x14ac:dyDescent="0.2">
      <c r="A40" s="19" t="s">
        <v>30</v>
      </c>
      <c r="B40" s="44">
        <f>B25</f>
        <v>151043.5913</v>
      </c>
      <c r="C40" s="44">
        <f t="shared" ref="C40:M40" si="9">C25</f>
        <v>135972.36380000002</v>
      </c>
      <c r="D40" s="44">
        <f t="shared" si="9"/>
        <v>225045.65159015098</v>
      </c>
      <c r="E40" s="44">
        <f t="shared" si="9"/>
        <v>204834.66701828904</v>
      </c>
      <c r="F40" s="44">
        <f t="shared" si="9"/>
        <v>146137.12012902804</v>
      </c>
      <c r="G40" s="44">
        <f t="shared" si="9"/>
        <v>170959.63709999999</v>
      </c>
      <c r="H40" s="44">
        <f t="shared" si="9"/>
        <v>187677.39180000001</v>
      </c>
      <c r="I40" s="44">
        <f t="shared" si="9"/>
        <v>198751.32600000003</v>
      </c>
      <c r="J40" s="44">
        <f t="shared" si="9"/>
        <v>169382.28882000002</v>
      </c>
      <c r="K40" s="44">
        <f t="shared" si="9"/>
        <v>131408.07120000001</v>
      </c>
      <c r="L40" s="44">
        <f t="shared" si="9"/>
        <v>125214.17580000001</v>
      </c>
      <c r="M40" s="44">
        <f t="shared" si="9"/>
        <v>142832.98080000002</v>
      </c>
      <c r="N40" s="44">
        <f>N25</f>
        <v>1989259.2653574685</v>
      </c>
    </row>
    <row r="41" spans="1:14" x14ac:dyDescent="0.2">
      <c r="A41" s="41" t="s">
        <v>31</v>
      </c>
      <c r="B41" s="44">
        <f>B29</f>
        <v>55105</v>
      </c>
      <c r="C41" s="44">
        <f t="shared" ref="C41:M41" si="10">C29</f>
        <v>55105</v>
      </c>
      <c r="D41" s="44">
        <f t="shared" si="10"/>
        <v>55105</v>
      </c>
      <c r="E41" s="44">
        <f t="shared" si="10"/>
        <v>55105</v>
      </c>
      <c r="F41" s="44">
        <f t="shared" si="10"/>
        <v>55105</v>
      </c>
      <c r="G41" s="44">
        <f t="shared" si="10"/>
        <v>55105</v>
      </c>
      <c r="H41" s="44">
        <f t="shared" si="10"/>
        <v>55105</v>
      </c>
      <c r="I41" s="44">
        <f t="shared" si="10"/>
        <v>55105</v>
      </c>
      <c r="J41" s="44">
        <f t="shared" si="10"/>
        <v>55105</v>
      </c>
      <c r="K41" s="44">
        <f t="shared" si="10"/>
        <v>55105</v>
      </c>
      <c r="L41" s="44">
        <f t="shared" si="10"/>
        <v>55105</v>
      </c>
      <c r="M41" s="44">
        <f t="shared" si="10"/>
        <v>55105</v>
      </c>
      <c r="N41" s="44">
        <f t="shared" ref="N41:N43" si="11">SUM(B41:M41)</f>
        <v>661260</v>
      </c>
    </row>
    <row r="42" spans="1:14" x14ac:dyDescent="0.2">
      <c r="A42" s="19" t="s">
        <v>50</v>
      </c>
      <c r="B42" s="44">
        <f>B34</f>
        <v>1400</v>
      </c>
      <c r="C42" s="44">
        <f t="shared" ref="C42:M42" si="12">C34</f>
        <v>1790</v>
      </c>
      <c r="D42" s="44">
        <f t="shared" si="12"/>
        <v>1400</v>
      </c>
      <c r="E42" s="44">
        <f t="shared" si="12"/>
        <v>1400</v>
      </c>
      <c r="F42" s="44">
        <f t="shared" si="12"/>
        <v>1400</v>
      </c>
      <c r="G42" s="44">
        <f t="shared" si="12"/>
        <v>1400</v>
      </c>
      <c r="H42" s="44">
        <f t="shared" si="12"/>
        <v>1400</v>
      </c>
      <c r="I42" s="44">
        <f t="shared" si="12"/>
        <v>1400</v>
      </c>
      <c r="J42" s="44">
        <f t="shared" si="12"/>
        <v>1400</v>
      </c>
      <c r="K42" s="44">
        <f t="shared" si="12"/>
        <v>1400</v>
      </c>
      <c r="L42" s="44">
        <f t="shared" si="12"/>
        <v>1400</v>
      </c>
      <c r="M42" s="44">
        <f t="shared" si="12"/>
        <v>1400</v>
      </c>
      <c r="N42" s="44">
        <f t="shared" si="11"/>
        <v>17190</v>
      </c>
    </row>
    <row r="43" spans="1:14" x14ac:dyDescent="0.2">
      <c r="A43" s="41" t="s">
        <v>10</v>
      </c>
      <c r="B43" s="45">
        <f>EUD!H20/12</f>
        <v>8612.6666666666661</v>
      </c>
      <c r="C43" s="45">
        <f>B43</f>
        <v>8612.6666666666661</v>
      </c>
      <c r="D43" s="45">
        <f>C43</f>
        <v>8612.6666666666661</v>
      </c>
      <c r="E43" s="45">
        <f t="shared" ref="E43:M43" si="13">D43</f>
        <v>8612.6666666666661</v>
      </c>
      <c r="F43" s="45">
        <f t="shared" si="13"/>
        <v>8612.6666666666661</v>
      </c>
      <c r="G43" s="45">
        <f t="shared" si="13"/>
        <v>8612.6666666666661</v>
      </c>
      <c r="H43" s="45">
        <f t="shared" si="13"/>
        <v>8612.6666666666661</v>
      </c>
      <c r="I43" s="45">
        <f t="shared" si="13"/>
        <v>8612.6666666666661</v>
      </c>
      <c r="J43" s="45">
        <f t="shared" si="13"/>
        <v>8612.6666666666661</v>
      </c>
      <c r="K43" s="45">
        <f t="shared" si="13"/>
        <v>8612.6666666666661</v>
      </c>
      <c r="L43" s="45">
        <f t="shared" si="13"/>
        <v>8612.6666666666661</v>
      </c>
      <c r="M43" s="45">
        <f t="shared" si="13"/>
        <v>8612.6666666666661</v>
      </c>
      <c r="N43" s="45">
        <f t="shared" si="11"/>
        <v>103352.00000000001</v>
      </c>
    </row>
    <row r="44" spans="1:14" x14ac:dyDescent="0.2">
      <c r="B44" s="44">
        <f t="shared" ref="B44:M44" si="14">SUM(B40:B43)</f>
        <v>216161.25796666666</v>
      </c>
      <c r="C44" s="44">
        <f t="shared" si="14"/>
        <v>201480.03046666668</v>
      </c>
      <c r="D44" s="44">
        <f t="shared" si="14"/>
        <v>290163.3182568177</v>
      </c>
      <c r="E44" s="44">
        <f t="shared" si="14"/>
        <v>269952.33368495572</v>
      </c>
      <c r="F44" s="44">
        <f t="shared" si="14"/>
        <v>211254.7867956947</v>
      </c>
      <c r="G44" s="44">
        <f t="shared" si="14"/>
        <v>236077.30376666665</v>
      </c>
      <c r="H44" s="44">
        <f t="shared" si="14"/>
        <v>252795.05846666667</v>
      </c>
      <c r="I44" s="44">
        <f t="shared" si="14"/>
        <v>263868.99266666669</v>
      </c>
      <c r="J44" s="44">
        <f t="shared" si="14"/>
        <v>234499.95548666667</v>
      </c>
      <c r="K44" s="44">
        <f t="shared" si="14"/>
        <v>196525.73786666666</v>
      </c>
      <c r="L44" s="44">
        <f t="shared" si="14"/>
        <v>190331.84246666668</v>
      </c>
      <c r="M44" s="44">
        <f t="shared" si="14"/>
        <v>207950.64746666668</v>
      </c>
      <c r="N44" s="44">
        <f>SUM(N39:N43)</f>
        <v>3255871.2653574683</v>
      </c>
    </row>
    <row r="45" spans="1:14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</sheetData>
  <mergeCells count="6">
    <mergeCell ref="B32:M32"/>
    <mergeCell ref="A1:N1"/>
    <mergeCell ref="A2:N2"/>
    <mergeCell ref="A3:N3"/>
    <mergeCell ref="B7:M7"/>
    <mergeCell ref="B27:M27"/>
  </mergeCells>
  <pageMargins left="0.2" right="0.2" top="0.75" bottom="0.75" header="0.3" footer="0.3"/>
  <pageSetup scale="70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6" sqref="D16"/>
    </sheetView>
  </sheetViews>
  <sheetFormatPr defaultRowHeight="15" x14ac:dyDescent="0.25"/>
  <cols>
    <col min="1" max="1" width="9.140625" style="54"/>
    <col min="2" max="2" width="11.28515625" style="52" customWidth="1"/>
    <col min="3" max="3" width="9.140625" style="53"/>
    <col min="4" max="16384" width="9.140625" style="54"/>
  </cols>
  <sheetData>
    <row r="1" spans="1:3" x14ac:dyDescent="0.25">
      <c r="A1" s="51" t="s">
        <v>54</v>
      </c>
    </row>
    <row r="2" spans="1:3" x14ac:dyDescent="0.25">
      <c r="A2" s="51"/>
    </row>
    <row r="3" spans="1:3" x14ac:dyDescent="0.25">
      <c r="A3" s="51"/>
      <c r="B3" s="55"/>
    </row>
    <row r="5" spans="1:3" x14ac:dyDescent="0.25">
      <c r="B5" s="52" t="s">
        <v>32</v>
      </c>
      <c r="C5" s="53" t="s">
        <v>33</v>
      </c>
    </row>
    <row r="6" spans="1:3" x14ac:dyDescent="0.25">
      <c r="A6" s="69" t="s">
        <v>15</v>
      </c>
      <c r="B6" s="52">
        <v>1</v>
      </c>
      <c r="C6" s="53">
        <f>([4]Eudora!$P$8+[4]Eudora!$T$8)/1000</f>
        <v>4094.09</v>
      </c>
    </row>
    <row r="7" spans="1:3" x14ac:dyDescent="0.25">
      <c r="A7" s="69" t="s">
        <v>16</v>
      </c>
      <c r="B7" s="52">
        <v>2</v>
      </c>
      <c r="C7" s="53">
        <f>([4]Eudora!$P$9+[4]Eudora!$T$9)/1000</f>
        <v>3666.34</v>
      </c>
    </row>
    <row r="8" spans="1:3" x14ac:dyDescent="0.25">
      <c r="A8" s="69" t="s">
        <v>17</v>
      </c>
      <c r="B8" s="52">
        <v>3</v>
      </c>
      <c r="C8" s="53">
        <v>5988.5699942999991</v>
      </c>
    </row>
    <row r="9" spans="1:3" x14ac:dyDescent="0.25">
      <c r="A9" s="69" t="s">
        <v>18</v>
      </c>
      <c r="B9" s="52">
        <v>4</v>
      </c>
      <c r="C9" s="53">
        <v>5497.7250977000012</v>
      </c>
    </row>
    <row r="10" spans="1:3" x14ac:dyDescent="0.25">
      <c r="A10" s="69" t="s">
        <v>19</v>
      </c>
      <c r="B10" s="52">
        <v>5</v>
      </c>
      <c r="C10" s="53">
        <v>3984.8804804000015</v>
      </c>
    </row>
    <row r="11" spans="1:3" x14ac:dyDescent="0.25">
      <c r="A11" s="69" t="s">
        <v>20</v>
      </c>
      <c r="B11" s="52">
        <v>6</v>
      </c>
      <c r="C11" s="53">
        <f>([5]Eudora!$P$13+[5]Eudora!$T$13)/1000</f>
        <v>4497.8549999999996</v>
      </c>
    </row>
    <row r="12" spans="1:3" x14ac:dyDescent="0.25">
      <c r="A12" s="69" t="s">
        <v>21</v>
      </c>
      <c r="B12" s="52">
        <v>7</v>
      </c>
      <c r="C12" s="53">
        <f>([5]Eudora!$P$14+[5]Eudora!$T$14)/1000</f>
        <v>4971.59</v>
      </c>
    </row>
    <row r="13" spans="1:3" x14ac:dyDescent="0.25">
      <c r="A13" s="69" t="s">
        <v>22</v>
      </c>
      <c r="B13" s="52">
        <v>8</v>
      </c>
      <c r="C13" s="53">
        <f>([5]Eudora!$P$15+[5]Eudora!$T$15)/1000</f>
        <v>5192.3</v>
      </c>
    </row>
    <row r="14" spans="1:3" x14ac:dyDescent="0.25">
      <c r="A14" s="69" t="s">
        <v>23</v>
      </c>
      <c r="B14" s="52">
        <v>9</v>
      </c>
      <c r="C14" s="53">
        <f>([5]Eudora!$P$16+[5]Eudora!$T$16)/1000</f>
        <v>4396.79</v>
      </c>
    </row>
    <row r="15" spans="1:3" x14ac:dyDescent="0.25">
      <c r="A15" s="69" t="s">
        <v>24</v>
      </c>
      <c r="B15" s="52">
        <v>10</v>
      </c>
      <c r="C15" s="53">
        <f>([5]Eudora!$P$17+[5]Eudora!$T$17)/1000</f>
        <v>3450.56</v>
      </c>
    </row>
    <row r="16" spans="1:3" x14ac:dyDescent="0.25">
      <c r="A16" s="69" t="s">
        <v>25</v>
      </c>
      <c r="B16" s="52">
        <v>11</v>
      </c>
      <c r="C16" s="53">
        <f>([5]Eudora!$P$18+[5]Eudora!$T$18)/1000</f>
        <v>3295.79</v>
      </c>
    </row>
    <row r="17" spans="1:3" x14ac:dyDescent="0.25">
      <c r="A17" s="69" t="s">
        <v>26</v>
      </c>
      <c r="B17" s="52">
        <v>12</v>
      </c>
      <c r="C17" s="56">
        <f>([5]Eudora!$P$19+[5]Eudora!$T$19)/1000</f>
        <v>3752.04</v>
      </c>
    </row>
    <row r="19" spans="1:3" x14ac:dyDescent="0.25">
      <c r="C19" s="53">
        <f>SUM(C6:C18)</f>
        <v>52788.530572400006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EUD</vt:lpstr>
      <vt:lpstr>Eudora Charge by City</vt:lpstr>
      <vt:lpstr>Eudora Load</vt:lpstr>
      <vt:lpstr>EUD!Print_Area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Reception</cp:lastModifiedBy>
  <cp:lastPrinted>2014-09-15T16:39:25Z</cp:lastPrinted>
  <dcterms:created xsi:type="dcterms:W3CDTF">2013-04-01T18:02:26Z</dcterms:created>
  <dcterms:modified xsi:type="dcterms:W3CDTF">2015-01-15T19:57:22Z</dcterms:modified>
</cp:coreProperties>
</file>