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930" windowWidth="9375" windowHeight="4125" tabRatio="598" activeTab="7"/>
  </bookViews>
  <sheets>
    <sheet name="SUMMARY" sheetId="3" r:id="rId1"/>
    <sheet name="DESCRIP" sheetId="2" r:id="rId2"/>
    <sheet name="AUG" sheetId="15" r:id="rId3"/>
    <sheet name="BAL" sheetId="18" r:id="rId4"/>
    <sheet name="CHA" sheetId="5" r:id="rId5"/>
    <sheet name="CLAY" sheetId="16" state="hidden" r:id="rId6"/>
    <sheet name="GARN" sheetId="6" r:id="rId7"/>
    <sheet name="HOLT" sheetId="20" r:id="rId8"/>
    <sheet name="HORT" sheetId="22" r:id="rId9"/>
    <sheet name="IOLA" sheetId="7" r:id="rId10"/>
    <sheet name="MULV" sheetId="8" r:id="rId11"/>
    <sheet name="NEO" sheetId="9" r:id="rId12"/>
    <sheet name="OBE" sheetId="19" r:id="rId13"/>
    <sheet name="OSAW" sheetId="10" r:id="rId14"/>
    <sheet name="OTT" sheetId="11" r:id="rId15"/>
    <sheet name="SHAR" sheetId="23" r:id="rId16"/>
    <sheet name="STFR" sheetId="24" r:id="rId17"/>
    <sheet name="WAME" sheetId="25" r:id="rId18"/>
    <sheet name="WELL" sheetId="12" r:id="rId19"/>
    <sheet name="CLASS B CITIES" sheetId="14" r:id="rId20"/>
    <sheet name="SWPA Charges by City" sheetId="1" r:id="rId21"/>
    <sheet name="Energy" sheetId="17" r:id="rId22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Header">"2011 ANNUAL BUDGET"</definedName>
    <definedName name="Next">"2011"</definedName>
    <definedName name="_xlnm.Print_Area" localSheetId="2">AUG!$A$1:$M$36</definedName>
    <definedName name="_xlnm.Print_Area" localSheetId="3">BAL!$A$1:$M$36</definedName>
    <definedName name="_xlnm.Print_Area" localSheetId="4">CHA!$A$1:$M$36</definedName>
    <definedName name="_xlnm.Print_Area" localSheetId="19">'CLASS B CITIES'!$A$1:$P$31</definedName>
    <definedName name="_xlnm.Print_Area" localSheetId="6">GARN!$A$1:$M$36</definedName>
    <definedName name="_xlnm.Print_Area" localSheetId="7">HOLT!$A$1:$M$36</definedName>
    <definedName name="_xlnm.Print_Area" localSheetId="8">HORT!$A$1:$M$36</definedName>
    <definedName name="_xlnm.Print_Area" localSheetId="9">IOLA!$A$1:$L$37</definedName>
    <definedName name="_xlnm.Print_Area" localSheetId="10">MULV!$A$1:$M$40</definedName>
    <definedName name="_xlnm.Print_Area" localSheetId="11">NEO!$A$1:$M$36</definedName>
    <definedName name="_xlnm.Print_Area" localSheetId="12">OBE!$A$1:$M$36</definedName>
    <definedName name="_xlnm.Print_Area" localSheetId="13">OSAW!$A$1:$M$36</definedName>
    <definedName name="_xlnm.Print_Area" localSheetId="14">OTT!$A$1:$M$36</definedName>
    <definedName name="_xlnm.Print_Area" localSheetId="15">SHAR!$A$1:$M$36</definedName>
    <definedName name="_xlnm.Print_Area" localSheetId="16">STFR!$A$1:$M$36</definedName>
    <definedName name="_xlnm.Print_Area" localSheetId="0">SUMMARY!$A$1:$K$38</definedName>
    <definedName name="_xlnm.Print_Area" localSheetId="17">WAME!$A$1:$M$36</definedName>
    <definedName name="_xlnm.Print_Area" localSheetId="18">WELL!$A$1:$M$36</definedName>
    <definedName name="This">"2010"</definedName>
  </definedNames>
  <calcPr calcId="145621"/>
</workbook>
</file>

<file path=xl/calcChain.xml><?xml version="1.0" encoding="utf-8"?>
<calcChain xmlns="http://schemas.openxmlformats.org/spreadsheetml/2006/main">
  <c r="B40" i="1" l="1"/>
  <c r="M103" i="1" l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 l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J31" i="19" l="1"/>
  <c r="J28" i="19"/>
  <c r="J26" i="19"/>
  <c r="J24" i="19"/>
  <c r="J23" i="19"/>
  <c r="J20" i="19"/>
  <c r="J17" i="19"/>
  <c r="J14" i="19"/>
  <c r="J13" i="19"/>
  <c r="J33" i="19" l="1"/>
  <c r="H12" i="3" l="1"/>
  <c r="L18" i="14"/>
  <c r="L16" i="14"/>
  <c r="L13" i="14"/>
  <c r="J33" i="12"/>
  <c r="J31" i="12"/>
  <c r="J28" i="12"/>
  <c r="J26" i="12"/>
  <c r="J24" i="12"/>
  <c r="J23" i="12"/>
  <c r="J20" i="12"/>
  <c r="J17" i="12"/>
  <c r="J14" i="12"/>
  <c r="J13" i="12"/>
  <c r="J33" i="11"/>
  <c r="J31" i="11"/>
  <c r="J28" i="11"/>
  <c r="J26" i="11"/>
  <c r="J24" i="11"/>
  <c r="J23" i="11"/>
  <c r="J20" i="11"/>
  <c r="J17" i="11"/>
  <c r="J14" i="11"/>
  <c r="J13" i="11"/>
  <c r="J33" i="10"/>
  <c r="J31" i="10"/>
  <c r="J28" i="10"/>
  <c r="J26" i="10"/>
  <c r="J24" i="10"/>
  <c r="J23" i="10"/>
  <c r="J20" i="10"/>
  <c r="J17" i="10"/>
  <c r="J14" i="10"/>
  <c r="J13" i="10"/>
  <c r="J33" i="9"/>
  <c r="J31" i="9"/>
  <c r="J28" i="9"/>
  <c r="J26" i="9"/>
  <c r="J24" i="9"/>
  <c r="J23" i="9"/>
  <c r="J20" i="9"/>
  <c r="J17" i="9"/>
  <c r="J14" i="9"/>
  <c r="J13" i="9"/>
  <c r="J33" i="8"/>
  <c r="J31" i="8"/>
  <c r="J28" i="8"/>
  <c r="J26" i="8"/>
  <c r="J24" i="8"/>
  <c r="J23" i="8"/>
  <c r="J20" i="8"/>
  <c r="J17" i="8"/>
  <c r="J14" i="8"/>
  <c r="J13" i="8"/>
  <c r="J33" i="7"/>
  <c r="J31" i="7"/>
  <c r="J28" i="7"/>
  <c r="J26" i="7"/>
  <c r="J24" i="7"/>
  <c r="J23" i="7"/>
  <c r="J20" i="7"/>
  <c r="J17" i="7"/>
  <c r="J14" i="7"/>
  <c r="J13" i="7"/>
  <c r="J33" i="6"/>
  <c r="J31" i="6"/>
  <c r="J28" i="6"/>
  <c r="J26" i="6"/>
  <c r="J24" i="6"/>
  <c r="J23" i="6"/>
  <c r="J20" i="6"/>
  <c r="J17" i="6"/>
  <c r="J14" i="6"/>
  <c r="J13" i="6"/>
  <c r="J33" i="5"/>
  <c r="J31" i="5"/>
  <c r="J28" i="5"/>
  <c r="J26" i="5"/>
  <c r="J24" i="5"/>
  <c r="J23" i="5"/>
  <c r="J20" i="5"/>
  <c r="J17" i="5"/>
  <c r="J14" i="5"/>
  <c r="J13" i="5"/>
  <c r="J33" i="18"/>
  <c r="J31" i="18"/>
  <c r="J28" i="18"/>
  <c r="J26" i="18"/>
  <c r="J24" i="18"/>
  <c r="J23" i="18"/>
  <c r="J20" i="18"/>
  <c r="J17" i="18"/>
  <c r="J14" i="18"/>
  <c r="J13" i="18"/>
  <c r="J33" i="15"/>
  <c r="J31" i="15"/>
  <c r="J28" i="15"/>
  <c r="J26" i="15"/>
  <c r="J24" i="15"/>
  <c r="J23" i="15"/>
  <c r="J20" i="15"/>
  <c r="J17" i="15"/>
  <c r="J14" i="15"/>
  <c r="J13" i="15"/>
  <c r="H20" i="3" l="1"/>
  <c r="H21" i="3"/>
  <c r="H17" i="3"/>
  <c r="H22" i="3"/>
  <c r="H18" i="3"/>
  <c r="H23" i="3"/>
  <c r="D28" i="25"/>
  <c r="H28" i="25" s="1"/>
  <c r="L28" i="25" s="1"/>
  <c r="D24" i="25"/>
  <c r="D17" i="25"/>
  <c r="D20" i="25" s="1"/>
  <c r="H20" i="25" s="1"/>
  <c r="L20" i="25" s="1"/>
  <c r="D14" i="25"/>
  <c r="D26" i="25" s="1"/>
  <c r="H26" i="25" s="1"/>
  <c r="L26" i="25" s="1"/>
  <c r="J35" i="25"/>
  <c r="F24" i="25"/>
  <c r="F28" i="25" s="1"/>
  <c r="H24" i="25"/>
  <c r="L24" i="25" s="1"/>
  <c r="F23" i="25"/>
  <c r="F26" i="25" s="1"/>
  <c r="F17" i="25"/>
  <c r="F20" i="25" s="1"/>
  <c r="F14" i="25"/>
  <c r="D13" i="25"/>
  <c r="J9" i="25"/>
  <c r="H9" i="25"/>
  <c r="B2" i="25"/>
  <c r="D28" i="24"/>
  <c r="D24" i="24"/>
  <c r="D17" i="24"/>
  <c r="D14" i="24"/>
  <c r="H14" i="25" l="1"/>
  <c r="L14" i="25" s="1"/>
  <c r="H17" i="25"/>
  <c r="L17" i="25" s="1"/>
  <c r="J35" i="24"/>
  <c r="H28" i="24"/>
  <c r="L28" i="24" s="1"/>
  <c r="F24" i="24"/>
  <c r="F28" i="24" s="1"/>
  <c r="H24" i="24"/>
  <c r="L24" i="24" s="1"/>
  <c r="F23" i="24"/>
  <c r="F26" i="24" s="1"/>
  <c r="F17" i="24"/>
  <c r="F20" i="24" s="1"/>
  <c r="D20" i="24"/>
  <c r="H20" i="24" s="1"/>
  <c r="L20" i="24" s="1"/>
  <c r="F14" i="24"/>
  <c r="D26" i="24"/>
  <c r="H26" i="24" s="1"/>
  <c r="L26" i="24" s="1"/>
  <c r="D13" i="24"/>
  <c r="J9" i="24"/>
  <c r="H9" i="24"/>
  <c r="B2" i="24"/>
  <c r="D28" i="23"/>
  <c r="H28" i="23" s="1"/>
  <c r="L28" i="23" s="1"/>
  <c r="D24" i="23"/>
  <c r="D17" i="23"/>
  <c r="D14" i="23"/>
  <c r="D26" i="23" s="1"/>
  <c r="H26" i="23" s="1"/>
  <c r="L26" i="23" s="1"/>
  <c r="F24" i="23"/>
  <c r="F28" i="23" s="1"/>
  <c r="H24" i="23"/>
  <c r="L24" i="23" s="1"/>
  <c r="F23" i="23"/>
  <c r="F26" i="23" s="1"/>
  <c r="F17" i="23"/>
  <c r="F20" i="23" s="1"/>
  <c r="H17" i="23"/>
  <c r="L17" i="23" s="1"/>
  <c r="F14" i="23"/>
  <c r="J35" i="23"/>
  <c r="D13" i="23"/>
  <c r="J9" i="23"/>
  <c r="H9" i="23"/>
  <c r="B2" i="23"/>
  <c r="D28" i="22"/>
  <c r="D24" i="22"/>
  <c r="D17" i="22"/>
  <c r="D14" i="22"/>
  <c r="D13" i="22"/>
  <c r="J35" i="22"/>
  <c r="F24" i="22"/>
  <c r="F28" i="22" s="1"/>
  <c r="H24" i="22"/>
  <c r="L24" i="22" s="1"/>
  <c r="F23" i="22"/>
  <c r="F26" i="22" s="1"/>
  <c r="F17" i="22"/>
  <c r="F20" i="22" s="1"/>
  <c r="D20" i="22"/>
  <c r="F14" i="22"/>
  <c r="D26" i="22"/>
  <c r="J9" i="22"/>
  <c r="H9" i="22"/>
  <c r="B2" i="22"/>
  <c r="D28" i="20"/>
  <c r="D24" i="20"/>
  <c r="D17" i="20"/>
  <c r="H17" i="20" s="1"/>
  <c r="L17" i="20" s="1"/>
  <c r="D14" i="20"/>
  <c r="H28" i="20"/>
  <c r="L28" i="20" s="1"/>
  <c r="F24" i="20"/>
  <c r="F28" i="20" s="1"/>
  <c r="H24" i="20"/>
  <c r="L24" i="20" s="1"/>
  <c r="F23" i="20"/>
  <c r="F26" i="20" s="1"/>
  <c r="F17" i="20"/>
  <c r="F20" i="20" s="1"/>
  <c r="F14" i="20"/>
  <c r="D26" i="20"/>
  <c r="H26" i="20" s="1"/>
  <c r="L26" i="20" s="1"/>
  <c r="J35" i="20"/>
  <c r="D13" i="20"/>
  <c r="J9" i="20"/>
  <c r="H9" i="20"/>
  <c r="B2" i="20"/>
  <c r="C161" i="1"/>
  <c r="C182" i="1" s="1"/>
  <c r="D161" i="1"/>
  <c r="D182" i="1" s="1"/>
  <c r="E161" i="1"/>
  <c r="E182" i="1" s="1"/>
  <c r="F161" i="1"/>
  <c r="F182" i="1" s="1"/>
  <c r="G161" i="1"/>
  <c r="G182" i="1" s="1"/>
  <c r="H161" i="1"/>
  <c r="H182" i="1" s="1"/>
  <c r="I161" i="1"/>
  <c r="I182" i="1" s="1"/>
  <c r="J161" i="1"/>
  <c r="J182" i="1" s="1"/>
  <c r="K161" i="1"/>
  <c r="K182" i="1" s="1"/>
  <c r="L161" i="1"/>
  <c r="L182" i="1" s="1"/>
  <c r="M161" i="1"/>
  <c r="M182" i="1" s="1"/>
  <c r="B161" i="1"/>
  <c r="B182" i="1" s="1"/>
  <c r="C160" i="1"/>
  <c r="C181" i="1" s="1"/>
  <c r="D160" i="1"/>
  <c r="D181" i="1" s="1"/>
  <c r="E160" i="1"/>
  <c r="E181" i="1" s="1"/>
  <c r="F160" i="1"/>
  <c r="F181" i="1" s="1"/>
  <c r="G160" i="1"/>
  <c r="G181" i="1" s="1"/>
  <c r="H160" i="1"/>
  <c r="H181" i="1" s="1"/>
  <c r="I160" i="1"/>
  <c r="I181" i="1" s="1"/>
  <c r="J160" i="1"/>
  <c r="J181" i="1" s="1"/>
  <c r="K160" i="1"/>
  <c r="K181" i="1" s="1"/>
  <c r="L160" i="1"/>
  <c r="L181" i="1" s="1"/>
  <c r="M160" i="1"/>
  <c r="M181" i="1" s="1"/>
  <c r="B160" i="1"/>
  <c r="B181" i="1" s="1"/>
  <c r="C159" i="1"/>
  <c r="C180" i="1" s="1"/>
  <c r="D159" i="1"/>
  <c r="D180" i="1" s="1"/>
  <c r="E159" i="1"/>
  <c r="E180" i="1" s="1"/>
  <c r="F159" i="1"/>
  <c r="F180" i="1" s="1"/>
  <c r="G159" i="1"/>
  <c r="G180" i="1" s="1"/>
  <c r="H159" i="1"/>
  <c r="H180" i="1" s="1"/>
  <c r="I159" i="1"/>
  <c r="I180" i="1" s="1"/>
  <c r="J159" i="1"/>
  <c r="J180" i="1" s="1"/>
  <c r="K159" i="1"/>
  <c r="K180" i="1" s="1"/>
  <c r="L159" i="1"/>
  <c r="L180" i="1" s="1"/>
  <c r="M159" i="1"/>
  <c r="M180" i="1" s="1"/>
  <c r="B159" i="1"/>
  <c r="B180" i="1" s="1"/>
  <c r="C152" i="1"/>
  <c r="C173" i="1" s="1"/>
  <c r="D152" i="1"/>
  <c r="D173" i="1" s="1"/>
  <c r="E152" i="1"/>
  <c r="E173" i="1" s="1"/>
  <c r="F152" i="1"/>
  <c r="F173" i="1" s="1"/>
  <c r="G152" i="1"/>
  <c r="G173" i="1" s="1"/>
  <c r="H152" i="1"/>
  <c r="H173" i="1" s="1"/>
  <c r="I152" i="1"/>
  <c r="I173" i="1" s="1"/>
  <c r="J152" i="1"/>
  <c r="J173" i="1" s="1"/>
  <c r="K152" i="1"/>
  <c r="K173" i="1" s="1"/>
  <c r="L152" i="1"/>
  <c r="L173" i="1" s="1"/>
  <c r="M152" i="1"/>
  <c r="M173" i="1" s="1"/>
  <c r="B152" i="1"/>
  <c r="B173" i="1" s="1"/>
  <c r="C151" i="1"/>
  <c r="C172" i="1" s="1"/>
  <c r="D151" i="1"/>
  <c r="D172" i="1" s="1"/>
  <c r="E151" i="1"/>
  <c r="E172" i="1" s="1"/>
  <c r="F151" i="1"/>
  <c r="F172" i="1" s="1"/>
  <c r="G151" i="1"/>
  <c r="G172" i="1" s="1"/>
  <c r="H151" i="1"/>
  <c r="H172" i="1" s="1"/>
  <c r="I151" i="1"/>
  <c r="I172" i="1" s="1"/>
  <c r="J151" i="1"/>
  <c r="J172" i="1" s="1"/>
  <c r="K151" i="1"/>
  <c r="K172" i="1" s="1"/>
  <c r="L151" i="1"/>
  <c r="L172" i="1" s="1"/>
  <c r="M151" i="1"/>
  <c r="M172" i="1" s="1"/>
  <c r="B151" i="1"/>
  <c r="N151" i="1" s="1"/>
  <c r="N160" i="1"/>
  <c r="B141" i="1"/>
  <c r="C141" i="1"/>
  <c r="N141" i="1" s="1"/>
  <c r="D141" i="1"/>
  <c r="E141" i="1"/>
  <c r="F141" i="1"/>
  <c r="G141" i="1"/>
  <c r="H141" i="1"/>
  <c r="I141" i="1"/>
  <c r="J141" i="1"/>
  <c r="K141" i="1"/>
  <c r="L141" i="1"/>
  <c r="M141" i="1"/>
  <c r="B142" i="1"/>
  <c r="C142" i="1"/>
  <c r="N142" i="1" s="1"/>
  <c r="D142" i="1"/>
  <c r="E142" i="1"/>
  <c r="F142" i="1"/>
  <c r="G142" i="1"/>
  <c r="H142" i="1"/>
  <c r="I142" i="1"/>
  <c r="J142" i="1"/>
  <c r="K142" i="1"/>
  <c r="L142" i="1"/>
  <c r="M14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2" i="1"/>
  <c r="M132" i="1"/>
  <c r="L132" i="1"/>
  <c r="K132" i="1"/>
  <c r="J132" i="1"/>
  <c r="I132" i="1"/>
  <c r="H132" i="1"/>
  <c r="G132" i="1"/>
  <c r="F132" i="1"/>
  <c r="E132" i="1"/>
  <c r="D132" i="1"/>
  <c r="C132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C123" i="1"/>
  <c r="D123" i="1"/>
  <c r="E123" i="1"/>
  <c r="F123" i="1"/>
  <c r="G123" i="1"/>
  <c r="H123" i="1"/>
  <c r="I123" i="1"/>
  <c r="J123" i="1"/>
  <c r="K123" i="1"/>
  <c r="L123" i="1"/>
  <c r="M123" i="1"/>
  <c r="B123" i="1"/>
  <c r="C122" i="1"/>
  <c r="D122" i="1"/>
  <c r="E122" i="1"/>
  <c r="F122" i="1"/>
  <c r="G122" i="1"/>
  <c r="H122" i="1"/>
  <c r="I122" i="1"/>
  <c r="J122" i="1"/>
  <c r="K122" i="1"/>
  <c r="L122" i="1"/>
  <c r="M122" i="1"/>
  <c r="B122" i="1"/>
  <c r="C121" i="1"/>
  <c r="D121" i="1"/>
  <c r="E121" i="1"/>
  <c r="F121" i="1"/>
  <c r="G121" i="1"/>
  <c r="H121" i="1"/>
  <c r="I121" i="1"/>
  <c r="J121" i="1"/>
  <c r="K121" i="1"/>
  <c r="L121" i="1"/>
  <c r="M121" i="1"/>
  <c r="B121" i="1"/>
  <c r="C114" i="1"/>
  <c r="D114" i="1"/>
  <c r="E114" i="1"/>
  <c r="F114" i="1"/>
  <c r="G114" i="1"/>
  <c r="H114" i="1"/>
  <c r="I114" i="1"/>
  <c r="J114" i="1"/>
  <c r="K114" i="1"/>
  <c r="L114" i="1"/>
  <c r="M114" i="1"/>
  <c r="N93" i="1"/>
  <c r="D23" i="22" s="1"/>
  <c r="H23" i="22" s="1"/>
  <c r="L23" i="22" s="1"/>
  <c r="C113" i="1"/>
  <c r="D113" i="1"/>
  <c r="E113" i="1"/>
  <c r="F113" i="1"/>
  <c r="G113" i="1"/>
  <c r="H113" i="1"/>
  <c r="I113" i="1"/>
  <c r="J113" i="1"/>
  <c r="K113" i="1"/>
  <c r="L113" i="1"/>
  <c r="M113" i="1"/>
  <c r="H14" i="24" l="1"/>
  <c r="L14" i="24" s="1"/>
  <c r="H17" i="24"/>
  <c r="L17" i="24" s="1"/>
  <c r="H14" i="23"/>
  <c r="L14" i="23" s="1"/>
  <c r="D20" i="23"/>
  <c r="H20" i="23" s="1"/>
  <c r="L20" i="23" s="1"/>
  <c r="H26" i="22"/>
  <c r="L26" i="22" s="1"/>
  <c r="H20" i="22"/>
  <c r="L20" i="22" s="1"/>
  <c r="H28" i="22"/>
  <c r="L28" i="22" s="1"/>
  <c r="H17" i="22"/>
  <c r="L17" i="22" s="1"/>
  <c r="D20" i="20"/>
  <c r="H20" i="20" s="1"/>
  <c r="L20" i="20" s="1"/>
  <c r="N92" i="1"/>
  <c r="D23" i="20" s="1"/>
  <c r="H23" i="20" s="1"/>
  <c r="L23" i="20" s="1"/>
  <c r="M191" i="1"/>
  <c r="K191" i="1"/>
  <c r="I191" i="1"/>
  <c r="G191" i="1"/>
  <c r="E191" i="1"/>
  <c r="C191" i="1"/>
  <c r="B192" i="1"/>
  <c r="L192" i="1"/>
  <c r="J192" i="1"/>
  <c r="H192" i="1"/>
  <c r="F192" i="1"/>
  <c r="D192" i="1"/>
  <c r="B199" i="1"/>
  <c r="L199" i="1"/>
  <c r="J199" i="1"/>
  <c r="H199" i="1"/>
  <c r="F199" i="1"/>
  <c r="D199" i="1"/>
  <c r="B201" i="1"/>
  <c r="M201" i="1"/>
  <c r="K201" i="1"/>
  <c r="I201" i="1"/>
  <c r="G201" i="1"/>
  <c r="E201" i="1"/>
  <c r="C201" i="1"/>
  <c r="L200" i="1"/>
  <c r="J200" i="1"/>
  <c r="H200" i="1"/>
  <c r="F200" i="1"/>
  <c r="D200" i="1"/>
  <c r="B191" i="1"/>
  <c r="L191" i="1"/>
  <c r="J191" i="1"/>
  <c r="H191" i="1"/>
  <c r="F191" i="1"/>
  <c r="D191" i="1"/>
  <c r="M192" i="1"/>
  <c r="K192" i="1"/>
  <c r="I192" i="1"/>
  <c r="G192" i="1"/>
  <c r="E192" i="1"/>
  <c r="C192" i="1"/>
  <c r="M199" i="1"/>
  <c r="K199" i="1"/>
  <c r="I199" i="1"/>
  <c r="G199" i="1"/>
  <c r="E199" i="1"/>
  <c r="C199" i="1"/>
  <c r="B200" i="1"/>
  <c r="L201" i="1"/>
  <c r="J201" i="1"/>
  <c r="H201" i="1"/>
  <c r="F201" i="1"/>
  <c r="D201" i="1"/>
  <c r="M200" i="1"/>
  <c r="K200" i="1"/>
  <c r="I200" i="1"/>
  <c r="G200" i="1"/>
  <c r="E200" i="1"/>
  <c r="C200" i="1"/>
  <c r="N159" i="1"/>
  <c r="N182" i="1"/>
  <c r="N173" i="1"/>
  <c r="N180" i="1"/>
  <c r="N181" i="1"/>
  <c r="B172" i="1"/>
  <c r="N172" i="1" s="1"/>
  <c r="N161" i="1"/>
  <c r="N152" i="1"/>
  <c r="N132" i="1"/>
  <c r="N140" i="1"/>
  <c r="N123" i="1"/>
  <c r="N121" i="1"/>
  <c r="B114" i="1"/>
  <c r="N114" i="1" s="1"/>
  <c r="B113" i="1"/>
  <c r="N113" i="1" s="1"/>
  <c r="N122" i="1"/>
  <c r="N100" i="1"/>
  <c r="D23" i="23" s="1"/>
  <c r="H23" i="23" s="1"/>
  <c r="L23" i="23" s="1"/>
  <c r="N102" i="1"/>
  <c r="D23" i="25" s="1"/>
  <c r="H23" i="25" s="1"/>
  <c r="L23" i="25" s="1"/>
  <c r="N101" i="1"/>
  <c r="D23" i="24" s="1"/>
  <c r="H23" i="24" s="1"/>
  <c r="L23" i="24" s="1"/>
  <c r="N200" i="1" l="1"/>
  <c r="N191" i="1"/>
  <c r="N201" i="1"/>
  <c r="N199" i="1"/>
  <c r="N192" i="1"/>
  <c r="C83" i="1" l="1"/>
  <c r="N83" i="1" s="1"/>
  <c r="D83" i="1"/>
  <c r="E83" i="1"/>
  <c r="F83" i="1"/>
  <c r="G83" i="1"/>
  <c r="H83" i="1"/>
  <c r="I83" i="1"/>
  <c r="J83" i="1"/>
  <c r="K83" i="1"/>
  <c r="L83" i="1"/>
  <c r="M83" i="1"/>
  <c r="B83" i="1"/>
  <c r="C82" i="1"/>
  <c r="D82" i="1"/>
  <c r="E82" i="1"/>
  <c r="F82" i="1"/>
  <c r="G82" i="1"/>
  <c r="H82" i="1"/>
  <c r="I82" i="1"/>
  <c r="J82" i="1"/>
  <c r="K82" i="1"/>
  <c r="L82" i="1"/>
  <c r="M82" i="1"/>
  <c r="B82" i="1"/>
  <c r="C81" i="1"/>
  <c r="N81" i="1" s="1"/>
  <c r="D81" i="1"/>
  <c r="E81" i="1"/>
  <c r="F81" i="1"/>
  <c r="G81" i="1"/>
  <c r="H81" i="1"/>
  <c r="I81" i="1"/>
  <c r="J81" i="1"/>
  <c r="K81" i="1"/>
  <c r="L81" i="1"/>
  <c r="M81" i="1"/>
  <c r="B81" i="1"/>
  <c r="C74" i="1"/>
  <c r="D74" i="1"/>
  <c r="E74" i="1"/>
  <c r="F74" i="1"/>
  <c r="G74" i="1"/>
  <c r="H74" i="1"/>
  <c r="I74" i="1"/>
  <c r="J74" i="1"/>
  <c r="K74" i="1"/>
  <c r="L74" i="1"/>
  <c r="M74" i="1"/>
  <c r="B74" i="1"/>
  <c r="C73" i="1"/>
  <c r="D73" i="1"/>
  <c r="E73" i="1"/>
  <c r="F73" i="1"/>
  <c r="G73" i="1"/>
  <c r="H73" i="1"/>
  <c r="I73" i="1"/>
  <c r="J73" i="1"/>
  <c r="K73" i="1"/>
  <c r="L73" i="1"/>
  <c r="M73" i="1"/>
  <c r="B73" i="1"/>
  <c r="B72" i="1"/>
  <c r="N60" i="1"/>
  <c r="N61" i="1"/>
  <c r="N62" i="1"/>
  <c r="N52" i="1"/>
  <c r="N53" i="1"/>
  <c r="C41" i="1"/>
  <c r="D41" i="1"/>
  <c r="E41" i="1"/>
  <c r="F41" i="1"/>
  <c r="G41" i="1"/>
  <c r="H41" i="1"/>
  <c r="I41" i="1"/>
  <c r="J41" i="1"/>
  <c r="K41" i="1"/>
  <c r="L41" i="1"/>
  <c r="M41" i="1"/>
  <c r="C42" i="1"/>
  <c r="D42" i="1"/>
  <c r="E42" i="1"/>
  <c r="F42" i="1"/>
  <c r="G42" i="1"/>
  <c r="H42" i="1"/>
  <c r="I42" i="1"/>
  <c r="J42" i="1"/>
  <c r="K42" i="1"/>
  <c r="L42" i="1"/>
  <c r="M42" i="1"/>
  <c r="C43" i="1"/>
  <c r="D43" i="1"/>
  <c r="E43" i="1"/>
  <c r="F43" i="1"/>
  <c r="G43" i="1"/>
  <c r="H43" i="1"/>
  <c r="I43" i="1"/>
  <c r="J43" i="1"/>
  <c r="K43" i="1"/>
  <c r="L43" i="1"/>
  <c r="M43" i="1"/>
  <c r="B41" i="1"/>
  <c r="B42" i="1"/>
  <c r="B43" i="1"/>
  <c r="C33" i="1"/>
  <c r="D33" i="1"/>
  <c r="E33" i="1"/>
  <c r="F33" i="1"/>
  <c r="G33" i="1"/>
  <c r="H33" i="1"/>
  <c r="I33" i="1"/>
  <c r="J33" i="1"/>
  <c r="K33" i="1"/>
  <c r="L33" i="1"/>
  <c r="M33" i="1"/>
  <c r="C34" i="1"/>
  <c r="D34" i="1"/>
  <c r="E34" i="1"/>
  <c r="F34" i="1"/>
  <c r="G34" i="1"/>
  <c r="H34" i="1"/>
  <c r="I34" i="1"/>
  <c r="J34" i="1"/>
  <c r="K34" i="1"/>
  <c r="L34" i="1"/>
  <c r="M34" i="1"/>
  <c r="B34" i="1"/>
  <c r="N34" i="1" s="1"/>
  <c r="H13" i="22" s="1"/>
  <c r="B33" i="1"/>
  <c r="N20" i="1"/>
  <c r="N21" i="1"/>
  <c r="N22" i="1"/>
  <c r="N13" i="1"/>
  <c r="N12" i="1"/>
  <c r="C125" i="17"/>
  <c r="D125" i="17"/>
  <c r="E125" i="17"/>
  <c r="F125" i="17"/>
  <c r="G125" i="17"/>
  <c r="H125" i="17"/>
  <c r="I125" i="17"/>
  <c r="J125" i="17"/>
  <c r="K125" i="17"/>
  <c r="L125" i="17"/>
  <c r="M125" i="17"/>
  <c r="C121" i="17"/>
  <c r="D121" i="17"/>
  <c r="E121" i="17"/>
  <c r="F121" i="17"/>
  <c r="G121" i="17"/>
  <c r="H121" i="17"/>
  <c r="I121" i="17"/>
  <c r="J121" i="17"/>
  <c r="K121" i="17"/>
  <c r="L121" i="17"/>
  <c r="M121" i="17"/>
  <c r="N128" i="17"/>
  <c r="N124" i="17"/>
  <c r="N120" i="17"/>
  <c r="N92" i="17"/>
  <c r="N88" i="17"/>
  <c r="N62" i="17"/>
  <c r="N58" i="17"/>
  <c r="N54" i="17"/>
  <c r="N26" i="17"/>
  <c r="N73" i="1" l="1"/>
  <c r="H14" i="20" s="1"/>
  <c r="L14" i="20" s="1"/>
  <c r="N82" i="1"/>
  <c r="N33" i="1"/>
  <c r="H13" i="20" s="1"/>
  <c r="L13" i="20" s="1"/>
  <c r="N43" i="1"/>
  <c r="H13" i="25" s="1"/>
  <c r="N41" i="1"/>
  <c r="H13" i="23" s="1"/>
  <c r="L13" i="22"/>
  <c r="N42" i="1"/>
  <c r="H13" i="24" s="1"/>
  <c r="N74" i="1"/>
  <c r="H14" i="22" s="1"/>
  <c r="L14" i="22" s="1"/>
  <c r="N22" i="17"/>
  <c r="L13" i="23" l="1"/>
  <c r="L13" i="24"/>
  <c r="L13" i="25"/>
  <c r="M133" i="17"/>
  <c r="L133" i="17"/>
  <c r="K133" i="17"/>
  <c r="J133" i="17"/>
  <c r="I133" i="17"/>
  <c r="H133" i="17"/>
  <c r="G133" i="17"/>
  <c r="F133" i="17"/>
  <c r="E133" i="17"/>
  <c r="D133" i="17"/>
  <c r="C133" i="17"/>
  <c r="B133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M113" i="17"/>
  <c r="L113" i="17"/>
  <c r="K113" i="17"/>
  <c r="J113" i="17"/>
  <c r="I113" i="17"/>
  <c r="H113" i="17"/>
  <c r="G113" i="17"/>
  <c r="F113" i="17"/>
  <c r="E113" i="17"/>
  <c r="D113" i="17"/>
  <c r="C113" i="17"/>
  <c r="B113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M85" i="17"/>
  <c r="M109" i="17" s="1"/>
  <c r="L85" i="17"/>
  <c r="L109" i="17" s="1"/>
  <c r="K85" i="17"/>
  <c r="K109" i="17" s="1"/>
  <c r="J85" i="17"/>
  <c r="J109" i="17" s="1"/>
  <c r="I85" i="17"/>
  <c r="I109" i="17" s="1"/>
  <c r="H85" i="17"/>
  <c r="H109" i="17" s="1"/>
  <c r="G85" i="17"/>
  <c r="G109" i="17" s="1"/>
  <c r="F85" i="17"/>
  <c r="F109" i="17" s="1"/>
  <c r="E85" i="17"/>
  <c r="E109" i="17" s="1"/>
  <c r="D85" i="17"/>
  <c r="D109" i="17" s="1"/>
  <c r="C85" i="17"/>
  <c r="C109" i="17" s="1"/>
  <c r="B85" i="17"/>
  <c r="B109" i="17" s="1"/>
  <c r="M81" i="17"/>
  <c r="L81" i="17"/>
  <c r="K81" i="17"/>
  <c r="J81" i="17"/>
  <c r="I81" i="17"/>
  <c r="H81" i="17"/>
  <c r="G81" i="17"/>
  <c r="F81" i="17"/>
  <c r="E81" i="17"/>
  <c r="D81" i="17"/>
  <c r="C81" i="17"/>
  <c r="B81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M47" i="17"/>
  <c r="M63" i="17" s="1"/>
  <c r="L47" i="17"/>
  <c r="L63" i="17" s="1"/>
  <c r="K47" i="17"/>
  <c r="K63" i="17" s="1"/>
  <c r="J47" i="17"/>
  <c r="J63" i="17" s="1"/>
  <c r="I47" i="17"/>
  <c r="I63" i="17" s="1"/>
  <c r="H47" i="17"/>
  <c r="H63" i="17" s="1"/>
  <c r="G47" i="17"/>
  <c r="G63" i="17" s="1"/>
  <c r="F47" i="17"/>
  <c r="F63" i="17" s="1"/>
  <c r="E47" i="17"/>
  <c r="E63" i="17" s="1"/>
  <c r="D47" i="17"/>
  <c r="D63" i="17" s="1"/>
  <c r="C47" i="17"/>
  <c r="C63" i="17" s="1"/>
  <c r="B47" i="17"/>
  <c r="B63" i="17" s="1"/>
  <c r="M39" i="17"/>
  <c r="L39" i="17"/>
  <c r="K39" i="17"/>
  <c r="J39" i="17"/>
  <c r="I39" i="17"/>
  <c r="H39" i="17"/>
  <c r="G39" i="17"/>
  <c r="F39" i="17"/>
  <c r="E39" i="17"/>
  <c r="D39" i="17"/>
  <c r="C39" i="17"/>
  <c r="B39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19" i="17"/>
  <c r="M43" i="17" s="1"/>
  <c r="L19" i="17"/>
  <c r="L43" i="17" s="1"/>
  <c r="K19" i="17"/>
  <c r="K43" i="17" s="1"/>
  <c r="J19" i="17"/>
  <c r="J43" i="17" s="1"/>
  <c r="I19" i="17"/>
  <c r="I43" i="17" s="1"/>
  <c r="H19" i="17"/>
  <c r="H43" i="17" s="1"/>
  <c r="G19" i="17"/>
  <c r="G43" i="17" s="1"/>
  <c r="F19" i="17"/>
  <c r="F43" i="17" s="1"/>
  <c r="E19" i="17"/>
  <c r="E43" i="17" s="1"/>
  <c r="D19" i="17"/>
  <c r="D43" i="17" s="1"/>
  <c r="C19" i="17"/>
  <c r="C43" i="17" s="1"/>
  <c r="B19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G11" i="17"/>
  <c r="F11" i="17"/>
  <c r="E11" i="17"/>
  <c r="D11" i="17"/>
  <c r="C11" i="17"/>
  <c r="B11" i="17"/>
  <c r="M11" i="17"/>
  <c r="L11" i="17"/>
  <c r="K11" i="17"/>
  <c r="J11" i="17"/>
  <c r="I11" i="17"/>
  <c r="H11" i="17"/>
  <c r="M7" i="17"/>
  <c r="L7" i="17"/>
  <c r="K7" i="17"/>
  <c r="J7" i="17"/>
  <c r="I7" i="17"/>
  <c r="H7" i="17"/>
  <c r="G7" i="17"/>
  <c r="F7" i="17"/>
  <c r="E7" i="17"/>
  <c r="D7" i="17"/>
  <c r="C7" i="17"/>
  <c r="B7" i="17"/>
  <c r="L8" i="14"/>
  <c r="E8" i="14"/>
  <c r="C129" i="17" l="1"/>
  <c r="C130" i="17" s="1"/>
  <c r="C122" i="17"/>
  <c r="C126" i="17"/>
  <c r="E129" i="17"/>
  <c r="E130" i="17" s="1"/>
  <c r="E122" i="17"/>
  <c r="E126" i="17"/>
  <c r="G129" i="17"/>
  <c r="G130" i="17" s="1"/>
  <c r="G122" i="17"/>
  <c r="G126" i="17"/>
  <c r="I129" i="17"/>
  <c r="I130" i="17" s="1"/>
  <c r="I122" i="17"/>
  <c r="I126" i="17"/>
  <c r="K129" i="17"/>
  <c r="K130" i="17" s="1"/>
  <c r="K122" i="17"/>
  <c r="K126" i="17"/>
  <c r="M129" i="17"/>
  <c r="M130" i="17" s="1"/>
  <c r="M122" i="17"/>
  <c r="M126" i="17"/>
  <c r="B125" i="17"/>
  <c r="B129" i="17"/>
  <c r="B121" i="17"/>
  <c r="D126" i="17"/>
  <c r="D129" i="17"/>
  <c r="D130" i="17" s="1"/>
  <c r="D122" i="17"/>
  <c r="F126" i="17"/>
  <c r="F129" i="17"/>
  <c r="F130" i="17" s="1"/>
  <c r="F122" i="17"/>
  <c r="H126" i="17"/>
  <c r="H129" i="17"/>
  <c r="H130" i="17" s="1"/>
  <c r="H122" i="17"/>
  <c r="J126" i="17"/>
  <c r="J129" i="17"/>
  <c r="J130" i="17" s="1"/>
  <c r="J122" i="17"/>
  <c r="L126" i="17"/>
  <c r="L129" i="17"/>
  <c r="L130" i="17" s="1"/>
  <c r="L122" i="17"/>
  <c r="C93" i="17"/>
  <c r="C94" i="17" s="1"/>
  <c r="C89" i="17"/>
  <c r="C90" i="17" s="1"/>
  <c r="E93" i="17"/>
  <c r="E94" i="17" s="1"/>
  <c r="E89" i="17"/>
  <c r="E90" i="17" s="1"/>
  <c r="G93" i="17"/>
  <c r="G94" i="17" s="1"/>
  <c r="G89" i="17"/>
  <c r="G90" i="17" s="1"/>
  <c r="I93" i="17"/>
  <c r="I94" i="17" s="1"/>
  <c r="I89" i="17"/>
  <c r="I90" i="17" s="1"/>
  <c r="K93" i="17"/>
  <c r="K94" i="17" s="1"/>
  <c r="K89" i="17"/>
  <c r="K90" i="17" s="1"/>
  <c r="M93" i="17"/>
  <c r="M94" i="17" s="1"/>
  <c r="M89" i="17"/>
  <c r="M90" i="17" s="1"/>
  <c r="B93" i="17"/>
  <c r="B89" i="17"/>
  <c r="D93" i="17"/>
  <c r="D94" i="17" s="1"/>
  <c r="D89" i="17"/>
  <c r="D90" i="17" s="1"/>
  <c r="F93" i="17"/>
  <c r="F94" i="17" s="1"/>
  <c r="F89" i="17"/>
  <c r="F90" i="17" s="1"/>
  <c r="H93" i="17"/>
  <c r="H94" i="17" s="1"/>
  <c r="H89" i="17"/>
  <c r="H90" i="17" s="1"/>
  <c r="J93" i="17"/>
  <c r="J94" i="17" s="1"/>
  <c r="J89" i="17"/>
  <c r="J90" i="17" s="1"/>
  <c r="L93" i="17"/>
  <c r="L94" i="17" s="1"/>
  <c r="L89" i="17"/>
  <c r="L90" i="17" s="1"/>
  <c r="C64" i="17"/>
  <c r="E64" i="17"/>
  <c r="G64" i="17"/>
  <c r="I64" i="17"/>
  <c r="K64" i="17"/>
  <c r="M64" i="17"/>
  <c r="D64" i="17"/>
  <c r="F64" i="17"/>
  <c r="H64" i="17"/>
  <c r="J64" i="17"/>
  <c r="L64" i="17"/>
  <c r="C55" i="17"/>
  <c r="C56" i="17" s="1"/>
  <c r="C59" i="17"/>
  <c r="C60" i="17" s="1"/>
  <c r="E55" i="17"/>
  <c r="E56" i="17" s="1"/>
  <c r="E59" i="17"/>
  <c r="E60" i="17" s="1"/>
  <c r="G55" i="17"/>
  <c r="G56" i="17" s="1"/>
  <c r="G59" i="17"/>
  <c r="G60" i="17" s="1"/>
  <c r="I55" i="17"/>
  <c r="I56" i="17" s="1"/>
  <c r="I59" i="17"/>
  <c r="I60" i="17" s="1"/>
  <c r="K55" i="17"/>
  <c r="K56" i="17" s="1"/>
  <c r="K59" i="17"/>
  <c r="K60" i="17" s="1"/>
  <c r="M55" i="17"/>
  <c r="M56" i="17" s="1"/>
  <c r="M59" i="17"/>
  <c r="M60" i="17" s="1"/>
  <c r="B27" i="17"/>
  <c r="B28" i="17" s="1"/>
  <c r="B59" i="17"/>
  <c r="B55" i="17"/>
  <c r="D59" i="17"/>
  <c r="D60" i="17" s="1"/>
  <c r="D55" i="17"/>
  <c r="D56" i="17" s="1"/>
  <c r="F59" i="17"/>
  <c r="F60" i="17" s="1"/>
  <c r="F55" i="17"/>
  <c r="F56" i="17" s="1"/>
  <c r="H59" i="17"/>
  <c r="H60" i="17" s="1"/>
  <c r="H55" i="17"/>
  <c r="H56" i="17" s="1"/>
  <c r="J59" i="17"/>
  <c r="J60" i="17" s="1"/>
  <c r="J55" i="17"/>
  <c r="J56" i="17" s="1"/>
  <c r="L59" i="17"/>
  <c r="L60" i="17" s="1"/>
  <c r="L55" i="17"/>
  <c r="L56" i="17" s="1"/>
  <c r="B64" i="17"/>
  <c r="N63" i="17"/>
  <c r="N64" i="17" s="1"/>
  <c r="C23" i="17"/>
  <c r="C24" i="17" s="1"/>
  <c r="C27" i="17"/>
  <c r="C28" i="17" s="1"/>
  <c r="E23" i="17"/>
  <c r="E24" i="17" s="1"/>
  <c r="E27" i="17"/>
  <c r="E28" i="17" s="1"/>
  <c r="G23" i="17"/>
  <c r="G24" i="17" s="1"/>
  <c r="G27" i="17"/>
  <c r="G28" i="17" s="1"/>
  <c r="I23" i="17"/>
  <c r="I24" i="17" s="1"/>
  <c r="I27" i="17"/>
  <c r="I28" i="17" s="1"/>
  <c r="K23" i="17"/>
  <c r="K24" i="17" s="1"/>
  <c r="K27" i="17"/>
  <c r="K28" i="17" s="1"/>
  <c r="M23" i="17"/>
  <c r="M24" i="17" s="1"/>
  <c r="M27" i="17"/>
  <c r="M28" i="17" s="1"/>
  <c r="D23" i="17"/>
  <c r="D24" i="17" s="1"/>
  <c r="D27" i="17"/>
  <c r="D28" i="17" s="1"/>
  <c r="F23" i="17"/>
  <c r="F24" i="17" s="1"/>
  <c r="F27" i="17"/>
  <c r="F28" i="17" s="1"/>
  <c r="H23" i="17"/>
  <c r="H24" i="17" s="1"/>
  <c r="H27" i="17"/>
  <c r="H28" i="17" s="1"/>
  <c r="J23" i="17"/>
  <c r="J24" i="17" s="1"/>
  <c r="J27" i="17"/>
  <c r="J28" i="17" s="1"/>
  <c r="L23" i="17"/>
  <c r="L24" i="17" s="1"/>
  <c r="L27" i="17"/>
  <c r="L28" i="17" s="1"/>
  <c r="B43" i="17"/>
  <c r="B23" i="17"/>
  <c r="B130" i="17" l="1"/>
  <c r="N129" i="17"/>
  <c r="N130" i="17" s="1"/>
  <c r="B122" i="17"/>
  <c r="N121" i="17"/>
  <c r="N122" i="17" s="1"/>
  <c r="N125" i="17"/>
  <c r="N126" i="17" s="1"/>
  <c r="B126" i="17"/>
  <c r="B90" i="17"/>
  <c r="N89" i="17"/>
  <c r="N90" i="17" s="1"/>
  <c r="B94" i="17"/>
  <c r="N93" i="17"/>
  <c r="N94" i="17" s="1"/>
  <c r="B60" i="17"/>
  <c r="N59" i="17"/>
  <c r="N60" i="17" s="1"/>
  <c r="B56" i="17"/>
  <c r="N55" i="17"/>
  <c r="N56" i="17" s="1"/>
  <c r="N27" i="17"/>
  <c r="N28" i="17" s="1"/>
  <c r="B24" i="17"/>
  <c r="N23" i="17"/>
  <c r="N24" i="17" s="1"/>
  <c r="D17" i="19" l="1"/>
  <c r="D14" i="19"/>
  <c r="C137" i="1"/>
  <c r="D137" i="1"/>
  <c r="E137" i="1"/>
  <c r="F137" i="1"/>
  <c r="G137" i="1"/>
  <c r="H137" i="1"/>
  <c r="I137" i="1"/>
  <c r="J137" i="1"/>
  <c r="K137" i="1"/>
  <c r="L137" i="1"/>
  <c r="M137" i="1"/>
  <c r="B137" i="1"/>
  <c r="N57" i="1"/>
  <c r="B38" i="1"/>
  <c r="B39" i="1"/>
  <c r="N17" i="1"/>
  <c r="F24" i="19"/>
  <c r="F28" i="19" s="1"/>
  <c r="F23" i="19"/>
  <c r="F26" i="19" s="1"/>
  <c r="D20" i="19"/>
  <c r="D26" i="19"/>
  <c r="J35" i="19"/>
  <c r="B2" i="19"/>
  <c r="N109" i="17" l="1"/>
  <c r="N137" i="1"/>
  <c r="H26" i="19"/>
  <c r="L26" i="19" s="1"/>
  <c r="B205" i="1"/>
  <c r="B106" i="1"/>
  <c r="M66" i="17" l="1"/>
  <c r="M50" i="17"/>
  <c r="M46" i="17"/>
  <c r="M38" i="17"/>
  <c r="M34" i="17"/>
  <c r="M30" i="17"/>
  <c r="M18" i="17"/>
  <c r="L18" i="17"/>
  <c r="M14" i="17"/>
  <c r="M10" i="17"/>
  <c r="M6" i="17"/>
  <c r="M42" i="17" l="1"/>
  <c r="M132" i="17" l="1"/>
  <c r="L132" i="17"/>
  <c r="K132" i="17"/>
  <c r="J132" i="17"/>
  <c r="I132" i="17"/>
  <c r="H132" i="17"/>
  <c r="G132" i="17"/>
  <c r="F132" i="17"/>
  <c r="E132" i="17"/>
  <c r="D132" i="17"/>
  <c r="C132" i="17"/>
  <c r="B132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M112" i="17"/>
  <c r="L112" i="17"/>
  <c r="K112" i="17"/>
  <c r="M104" i="17"/>
  <c r="L104" i="17"/>
  <c r="K104" i="17"/>
  <c r="M100" i="17"/>
  <c r="L100" i="17"/>
  <c r="K100" i="17"/>
  <c r="M96" i="17"/>
  <c r="L96" i="17"/>
  <c r="K96" i="17"/>
  <c r="M84" i="17"/>
  <c r="M108" i="17" s="1"/>
  <c r="M110" i="17" s="1"/>
  <c r="M156" i="1" s="1"/>
  <c r="L84" i="17"/>
  <c r="L108" i="17" s="1"/>
  <c r="L110" i="17" s="1"/>
  <c r="L156" i="1" s="1"/>
  <c r="K84" i="17"/>
  <c r="K108" i="17" s="1"/>
  <c r="K110" i="17" s="1"/>
  <c r="K156" i="1" s="1"/>
  <c r="M80" i="17"/>
  <c r="L80" i="17"/>
  <c r="K80" i="17"/>
  <c r="M76" i="17"/>
  <c r="L76" i="17"/>
  <c r="K76" i="17"/>
  <c r="J76" i="17"/>
  <c r="I76" i="17"/>
  <c r="H76" i="17"/>
  <c r="G76" i="17"/>
  <c r="M72" i="17"/>
  <c r="L72" i="17"/>
  <c r="K72" i="17"/>
  <c r="L66" i="17"/>
  <c r="K66" i="17"/>
  <c r="J66" i="17"/>
  <c r="I66" i="17"/>
  <c r="H66" i="17"/>
  <c r="G66" i="17"/>
  <c r="F66" i="17"/>
  <c r="E66" i="17"/>
  <c r="D66" i="17"/>
  <c r="C66" i="17"/>
  <c r="B66" i="17"/>
  <c r="L50" i="17"/>
  <c r="K50" i="17"/>
  <c r="J50" i="17"/>
  <c r="I50" i="17"/>
  <c r="H50" i="17"/>
  <c r="G50" i="17"/>
  <c r="F50" i="17"/>
  <c r="E50" i="17"/>
  <c r="D50" i="17"/>
  <c r="C50" i="17"/>
  <c r="B50" i="17"/>
  <c r="L46" i="17"/>
  <c r="L42" i="17" s="1"/>
  <c r="K46" i="17"/>
  <c r="L38" i="17"/>
  <c r="K38" i="17"/>
  <c r="L34" i="17"/>
  <c r="K34" i="17"/>
  <c r="L177" i="1" l="1"/>
  <c r="L196" i="1"/>
  <c r="K177" i="1"/>
  <c r="K196" i="1"/>
  <c r="M177" i="1"/>
  <c r="M196" i="1"/>
  <c r="L30" i="17"/>
  <c r="K30" i="17"/>
  <c r="K18" i="17"/>
  <c r="K42" i="17" s="1"/>
  <c r="L14" i="17"/>
  <c r="K14" i="17"/>
  <c r="L10" i="17"/>
  <c r="K10" i="17"/>
  <c r="J10" i="17"/>
  <c r="I10" i="17"/>
  <c r="H10" i="17"/>
  <c r="G10" i="17"/>
  <c r="L6" i="17"/>
  <c r="K6" i="17"/>
  <c r="J112" i="17"/>
  <c r="I112" i="17"/>
  <c r="H112" i="17"/>
  <c r="G112" i="17"/>
  <c r="F112" i="17"/>
  <c r="E112" i="17"/>
  <c r="D112" i="17"/>
  <c r="C112" i="17"/>
  <c r="B112" i="17"/>
  <c r="J46" i="17"/>
  <c r="I46" i="17"/>
  <c r="H46" i="17"/>
  <c r="G46" i="17"/>
  <c r="F46" i="17"/>
  <c r="E46" i="17"/>
  <c r="D46" i="17"/>
  <c r="C46" i="17"/>
  <c r="B46" i="17"/>
  <c r="J104" i="17"/>
  <c r="I104" i="17"/>
  <c r="H104" i="17"/>
  <c r="G104" i="17"/>
  <c r="F104" i="17"/>
  <c r="E104" i="17"/>
  <c r="D104" i="17"/>
  <c r="C104" i="17"/>
  <c r="B104" i="17"/>
  <c r="J38" i="17"/>
  <c r="I38" i="17"/>
  <c r="H38" i="17"/>
  <c r="G38" i="17"/>
  <c r="F38" i="17"/>
  <c r="E38" i="17"/>
  <c r="D38" i="17"/>
  <c r="C38" i="17"/>
  <c r="B38" i="17"/>
  <c r="J100" i="17"/>
  <c r="I100" i="17"/>
  <c r="H100" i="17"/>
  <c r="G100" i="17"/>
  <c r="F100" i="17"/>
  <c r="E100" i="17"/>
  <c r="D100" i="17"/>
  <c r="C100" i="17"/>
  <c r="B100" i="17"/>
  <c r="J34" i="17"/>
  <c r="I34" i="17"/>
  <c r="H34" i="17"/>
  <c r="G34" i="17"/>
  <c r="F34" i="17"/>
  <c r="E34" i="17"/>
  <c r="D34" i="17"/>
  <c r="C34" i="17"/>
  <c r="B34" i="17"/>
  <c r="J96" i="17"/>
  <c r="I96" i="17"/>
  <c r="H96" i="17"/>
  <c r="G96" i="17"/>
  <c r="F96" i="17"/>
  <c r="E96" i="17"/>
  <c r="D96" i="17"/>
  <c r="C96" i="17"/>
  <c r="B96" i="17"/>
  <c r="J30" i="17"/>
  <c r="I30" i="17"/>
  <c r="H30" i="17"/>
  <c r="G30" i="17"/>
  <c r="F30" i="17"/>
  <c r="E30" i="17"/>
  <c r="D30" i="17"/>
  <c r="C30" i="17"/>
  <c r="B30" i="17"/>
  <c r="J84" i="17"/>
  <c r="J108" i="17" s="1"/>
  <c r="J110" i="17" s="1"/>
  <c r="J156" i="1" s="1"/>
  <c r="I84" i="17"/>
  <c r="I108" i="17" s="1"/>
  <c r="I110" i="17" s="1"/>
  <c r="I156" i="1" s="1"/>
  <c r="H84" i="17"/>
  <c r="H108" i="17" s="1"/>
  <c r="H110" i="17" s="1"/>
  <c r="H156" i="1" s="1"/>
  <c r="G84" i="17"/>
  <c r="G108" i="17" s="1"/>
  <c r="G110" i="17" s="1"/>
  <c r="G156" i="1" s="1"/>
  <c r="F84" i="17"/>
  <c r="F108" i="17" s="1"/>
  <c r="F110" i="17" s="1"/>
  <c r="F156" i="1" s="1"/>
  <c r="E84" i="17"/>
  <c r="E108" i="17" s="1"/>
  <c r="E110" i="17" s="1"/>
  <c r="E156" i="1" s="1"/>
  <c r="D84" i="17"/>
  <c r="D108" i="17" s="1"/>
  <c r="D110" i="17" s="1"/>
  <c r="D156" i="1" s="1"/>
  <c r="C84" i="17"/>
  <c r="C108" i="17" s="1"/>
  <c r="C110" i="17" s="1"/>
  <c r="C156" i="1" s="1"/>
  <c r="B84" i="17"/>
  <c r="B108" i="17" s="1"/>
  <c r="J18" i="17"/>
  <c r="I18" i="17"/>
  <c r="H18" i="17"/>
  <c r="G18" i="17"/>
  <c r="F18" i="17"/>
  <c r="E18" i="17"/>
  <c r="D18" i="17"/>
  <c r="C18" i="17"/>
  <c r="B18" i="17"/>
  <c r="J80" i="17"/>
  <c r="I80" i="17"/>
  <c r="H80" i="17"/>
  <c r="G80" i="17"/>
  <c r="F80" i="17"/>
  <c r="E80" i="17"/>
  <c r="D80" i="17"/>
  <c r="C80" i="17"/>
  <c r="B80" i="17"/>
  <c r="J14" i="17"/>
  <c r="I14" i="17"/>
  <c r="H14" i="17"/>
  <c r="G14" i="17"/>
  <c r="F14" i="17"/>
  <c r="E14" i="17"/>
  <c r="D14" i="17"/>
  <c r="C14" i="17"/>
  <c r="B14" i="17"/>
  <c r="J72" i="17"/>
  <c r="I72" i="17"/>
  <c r="H72" i="17"/>
  <c r="G72" i="17"/>
  <c r="F72" i="17"/>
  <c r="E72" i="17"/>
  <c r="D72" i="17"/>
  <c r="C72" i="17"/>
  <c r="B72" i="17"/>
  <c r="J6" i="17"/>
  <c r="I6" i="17"/>
  <c r="H6" i="17"/>
  <c r="G6" i="17"/>
  <c r="F6" i="17"/>
  <c r="E6" i="17"/>
  <c r="D6" i="17"/>
  <c r="C6" i="17"/>
  <c r="B6" i="17"/>
  <c r="N108" i="17" l="1"/>
  <c r="B110" i="17"/>
  <c r="D177" i="1"/>
  <c r="D196" i="1"/>
  <c r="F177" i="1"/>
  <c r="F196" i="1"/>
  <c r="H177" i="1"/>
  <c r="H196" i="1"/>
  <c r="J177" i="1"/>
  <c r="J196" i="1"/>
  <c r="C177" i="1"/>
  <c r="C196" i="1"/>
  <c r="E177" i="1"/>
  <c r="E196" i="1"/>
  <c r="G177" i="1"/>
  <c r="G196" i="1"/>
  <c r="I177" i="1"/>
  <c r="I196" i="1"/>
  <c r="C42" i="17"/>
  <c r="E42" i="17"/>
  <c r="G42" i="17"/>
  <c r="I42" i="17"/>
  <c r="B42" i="17"/>
  <c r="D42" i="17"/>
  <c r="F42" i="17"/>
  <c r="H42" i="17"/>
  <c r="J42" i="17"/>
  <c r="B156" i="1" l="1"/>
  <c r="N110" i="17"/>
  <c r="N42" i="17"/>
  <c r="N156" i="1" l="1"/>
  <c r="B196" i="1"/>
  <c r="N196" i="1" s="1"/>
  <c r="B177" i="1"/>
  <c r="N177" i="1" s="1"/>
  <c r="D2" i="1"/>
  <c r="D24" i="19" l="1"/>
  <c r="D28" i="19"/>
  <c r="F17" i="15"/>
  <c r="D17" i="18"/>
  <c r="D14" i="18"/>
  <c r="D26" i="18" s="1"/>
  <c r="F17" i="11" l="1"/>
  <c r="F17" i="19"/>
  <c r="F17" i="6"/>
  <c r="F17" i="10"/>
  <c r="F17" i="18"/>
  <c r="F17" i="8"/>
  <c r="F17" i="12"/>
  <c r="F17" i="5"/>
  <c r="F17" i="7"/>
  <c r="F17" i="9"/>
  <c r="F20" i="19" l="1"/>
  <c r="H20" i="19" s="1"/>
  <c r="L20" i="19" s="1"/>
  <c r="H17" i="19"/>
  <c r="L17" i="19" s="1"/>
  <c r="B186" i="1"/>
  <c r="B127" i="1" l="1"/>
  <c r="C129" i="1" l="1"/>
  <c r="E129" i="1"/>
  <c r="G129" i="1"/>
  <c r="I129" i="1"/>
  <c r="K129" i="1"/>
  <c r="M129" i="1"/>
  <c r="C130" i="1"/>
  <c r="E130" i="1"/>
  <c r="G130" i="1"/>
  <c r="I130" i="1"/>
  <c r="K130" i="1"/>
  <c r="M130" i="1"/>
  <c r="C131" i="1"/>
  <c r="E131" i="1"/>
  <c r="G131" i="1"/>
  <c r="I131" i="1"/>
  <c r="K131" i="1"/>
  <c r="M131" i="1"/>
  <c r="C134" i="1"/>
  <c r="E134" i="1"/>
  <c r="G134" i="1"/>
  <c r="I134" i="1"/>
  <c r="K134" i="1"/>
  <c r="M134" i="1"/>
  <c r="C135" i="1"/>
  <c r="E135" i="1"/>
  <c r="G135" i="1"/>
  <c r="I135" i="1"/>
  <c r="K135" i="1"/>
  <c r="M135" i="1"/>
  <c r="C136" i="1"/>
  <c r="E136" i="1"/>
  <c r="G136" i="1"/>
  <c r="I136" i="1"/>
  <c r="K136" i="1"/>
  <c r="M136" i="1"/>
  <c r="C138" i="1"/>
  <c r="E138" i="1"/>
  <c r="G138" i="1"/>
  <c r="I138" i="1"/>
  <c r="K138" i="1"/>
  <c r="M138" i="1"/>
  <c r="C139" i="1"/>
  <c r="E139" i="1"/>
  <c r="G139" i="1"/>
  <c r="I139" i="1"/>
  <c r="K139" i="1"/>
  <c r="M139" i="1"/>
  <c r="C143" i="1"/>
  <c r="E143" i="1"/>
  <c r="G143" i="1"/>
  <c r="I143" i="1"/>
  <c r="K143" i="1"/>
  <c r="M143" i="1"/>
  <c r="D128" i="1"/>
  <c r="F128" i="1"/>
  <c r="H128" i="1"/>
  <c r="J128" i="1"/>
  <c r="L128" i="1"/>
  <c r="B128" i="1"/>
  <c r="B129" i="1"/>
  <c r="D129" i="1"/>
  <c r="F129" i="1"/>
  <c r="H129" i="1"/>
  <c r="J129" i="1"/>
  <c r="L129" i="1"/>
  <c r="B130" i="1"/>
  <c r="D130" i="1"/>
  <c r="F130" i="1"/>
  <c r="H130" i="1"/>
  <c r="J130" i="1"/>
  <c r="L130" i="1"/>
  <c r="B131" i="1"/>
  <c r="D131" i="1"/>
  <c r="F131" i="1"/>
  <c r="H131" i="1"/>
  <c r="J131" i="1"/>
  <c r="L131" i="1"/>
  <c r="B134" i="1"/>
  <c r="D134" i="1"/>
  <c r="F134" i="1"/>
  <c r="H134" i="1"/>
  <c r="J134" i="1"/>
  <c r="L134" i="1"/>
  <c r="B135" i="1"/>
  <c r="D135" i="1"/>
  <c r="F135" i="1"/>
  <c r="H135" i="1"/>
  <c r="J135" i="1"/>
  <c r="L135" i="1"/>
  <c r="B136" i="1"/>
  <c r="D136" i="1"/>
  <c r="F136" i="1"/>
  <c r="H136" i="1"/>
  <c r="J136" i="1"/>
  <c r="L136" i="1"/>
  <c r="B138" i="1"/>
  <c r="D138" i="1"/>
  <c r="F138" i="1"/>
  <c r="H138" i="1"/>
  <c r="J138" i="1"/>
  <c r="L138" i="1"/>
  <c r="B139" i="1"/>
  <c r="D139" i="1"/>
  <c r="F139" i="1"/>
  <c r="H139" i="1"/>
  <c r="J139" i="1"/>
  <c r="L139" i="1"/>
  <c r="B143" i="1"/>
  <c r="D143" i="1"/>
  <c r="F143" i="1"/>
  <c r="H143" i="1"/>
  <c r="J143" i="1"/>
  <c r="L143" i="1"/>
  <c r="C128" i="1"/>
  <c r="E128" i="1"/>
  <c r="G128" i="1"/>
  <c r="I128" i="1"/>
  <c r="K128" i="1"/>
  <c r="M128" i="1"/>
  <c r="C144" i="1"/>
  <c r="E144" i="1"/>
  <c r="G144" i="1"/>
  <c r="I144" i="1"/>
  <c r="K144" i="1"/>
  <c r="M144" i="1"/>
  <c r="N49" i="1"/>
  <c r="C30" i="1"/>
  <c r="D30" i="1"/>
  <c r="E30" i="1"/>
  <c r="F30" i="1"/>
  <c r="G30" i="1"/>
  <c r="H30" i="1"/>
  <c r="I30" i="1"/>
  <c r="J30" i="1"/>
  <c r="K30" i="1"/>
  <c r="L30" i="1"/>
  <c r="M30" i="1"/>
  <c r="B30" i="1"/>
  <c r="N135" i="1" l="1"/>
  <c r="B144" i="1"/>
  <c r="N128" i="1"/>
  <c r="J144" i="1"/>
  <c r="F144" i="1"/>
  <c r="N134" i="1"/>
  <c r="N131" i="1"/>
  <c r="N130" i="1"/>
  <c r="N129" i="1"/>
  <c r="L144" i="1"/>
  <c r="H144" i="1"/>
  <c r="D144" i="1"/>
  <c r="N136" i="1"/>
  <c r="N30" i="1"/>
  <c r="H13" i="18" s="1"/>
  <c r="N9" i="1"/>
  <c r="M44" i="17"/>
  <c r="M118" i="1" s="1"/>
  <c r="L44" i="17"/>
  <c r="L118" i="1" s="1"/>
  <c r="L8" i="17"/>
  <c r="K44" i="17"/>
  <c r="K118" i="1" s="1"/>
  <c r="K8" i="17"/>
  <c r="J44" i="17"/>
  <c r="J118" i="1" s="1"/>
  <c r="I44" i="17"/>
  <c r="I118" i="1" s="1"/>
  <c r="H44" i="17"/>
  <c r="H118" i="1" s="1"/>
  <c r="G44" i="17"/>
  <c r="G118" i="1" s="1"/>
  <c r="F44" i="17"/>
  <c r="F118" i="1" s="1"/>
  <c r="E44" i="17"/>
  <c r="E118" i="1" s="1"/>
  <c r="D44" i="17"/>
  <c r="D118" i="1" s="1"/>
  <c r="C44" i="17"/>
  <c r="C118" i="1" s="1"/>
  <c r="C76" i="17"/>
  <c r="E76" i="17"/>
  <c r="M8" i="17"/>
  <c r="L12" i="17"/>
  <c r="B44" i="17" l="1"/>
  <c r="N43" i="17"/>
  <c r="C78" i="17"/>
  <c r="C148" i="1" s="1"/>
  <c r="C188" i="1" s="1"/>
  <c r="E78" i="17"/>
  <c r="E148" i="1" s="1"/>
  <c r="E188" i="1" s="1"/>
  <c r="G78" i="17"/>
  <c r="G148" i="1" s="1"/>
  <c r="G188" i="1" s="1"/>
  <c r="H78" i="17"/>
  <c r="H148" i="1" s="1"/>
  <c r="H188" i="1" s="1"/>
  <c r="I78" i="17"/>
  <c r="I148" i="1" s="1"/>
  <c r="I188" i="1" s="1"/>
  <c r="K78" i="17"/>
  <c r="K148" i="1" s="1"/>
  <c r="K188" i="1" s="1"/>
  <c r="L78" i="17"/>
  <c r="L148" i="1" s="1"/>
  <c r="L188" i="1" s="1"/>
  <c r="M78" i="17"/>
  <c r="M148" i="1" s="1"/>
  <c r="M188" i="1" s="1"/>
  <c r="M12" i="17"/>
  <c r="B10" i="17"/>
  <c r="B12" i="17" s="1"/>
  <c r="B110" i="1" s="1"/>
  <c r="D10" i="17"/>
  <c r="D12" i="17" s="1"/>
  <c r="F10" i="17"/>
  <c r="F12" i="17" s="1"/>
  <c r="H12" i="17"/>
  <c r="C10" i="17"/>
  <c r="E10" i="17"/>
  <c r="E12" i="17" s="1"/>
  <c r="G12" i="17"/>
  <c r="I12" i="17"/>
  <c r="J78" i="17"/>
  <c r="J148" i="1" s="1"/>
  <c r="J188" i="1" s="1"/>
  <c r="F76" i="17"/>
  <c r="F78" i="17" s="1"/>
  <c r="F148" i="1" s="1"/>
  <c r="F188" i="1" s="1"/>
  <c r="D76" i="17"/>
  <c r="B76" i="17"/>
  <c r="N138" i="1"/>
  <c r="K12" i="17"/>
  <c r="F20" i="18"/>
  <c r="D20" i="18"/>
  <c r="J35" i="18"/>
  <c r="D13" i="18"/>
  <c r="J9" i="18"/>
  <c r="H9" i="18"/>
  <c r="B2" i="18"/>
  <c r="N44" i="17" l="1"/>
  <c r="N77" i="17"/>
  <c r="D78" i="17"/>
  <c r="D148" i="1" s="1"/>
  <c r="D188" i="1" s="1"/>
  <c r="N76" i="17"/>
  <c r="C12" i="17"/>
  <c r="N10" i="17"/>
  <c r="B78" i="17"/>
  <c r="B148" i="1" s="1"/>
  <c r="N139" i="1"/>
  <c r="N143" i="1"/>
  <c r="J12" i="17"/>
  <c r="N11" i="17"/>
  <c r="H20" i="18"/>
  <c r="L20" i="18" s="1"/>
  <c r="H17" i="18"/>
  <c r="L17" i="18" l="1"/>
  <c r="N78" i="17"/>
  <c r="B118" i="1"/>
  <c r="N118" i="1" s="1"/>
  <c r="N97" i="1"/>
  <c r="D23" i="19" s="1"/>
  <c r="N144" i="1"/>
  <c r="N12" i="17"/>
  <c r="B188" i="1"/>
  <c r="N188" i="1" s="1"/>
  <c r="B169" i="1"/>
  <c r="N148" i="1"/>
  <c r="N89" i="1"/>
  <c r="J9" i="15"/>
  <c r="H9" i="15"/>
  <c r="H2" i="2"/>
  <c r="J9" i="11" l="1"/>
  <c r="J9" i="19"/>
  <c r="H9" i="12"/>
  <c r="H9" i="19"/>
  <c r="J9" i="6"/>
  <c r="J9" i="8"/>
  <c r="J9" i="10"/>
  <c r="J9" i="12"/>
  <c r="J9" i="5"/>
  <c r="J9" i="7"/>
  <c r="J9" i="9"/>
  <c r="H9" i="5"/>
  <c r="H9" i="7"/>
  <c r="H9" i="9"/>
  <c r="H9" i="11"/>
  <c r="H9" i="6"/>
  <c r="H9" i="8"/>
  <c r="H9" i="10"/>
  <c r="D23" i="18"/>
  <c r="D24" i="18"/>
  <c r="D28" i="18"/>
  <c r="B66" i="1"/>
  <c r="B70" i="1" l="1"/>
  <c r="B78" i="1"/>
  <c r="C26" i="1"/>
  <c r="D26" i="1" l="1"/>
  <c r="C38" i="1"/>
  <c r="F20" i="15"/>
  <c r="F20" i="6"/>
  <c r="F20" i="7"/>
  <c r="F20" i="8"/>
  <c r="F20" i="10"/>
  <c r="F20" i="11"/>
  <c r="F20" i="12"/>
  <c r="D17" i="12"/>
  <c r="D20" i="12" s="1"/>
  <c r="D17" i="11"/>
  <c r="D20" i="11" s="1"/>
  <c r="D17" i="10"/>
  <c r="D20" i="10" s="1"/>
  <c r="D17" i="9"/>
  <c r="D20" i="9" s="1"/>
  <c r="D17" i="8"/>
  <c r="D20" i="8" s="1"/>
  <c r="D17" i="7"/>
  <c r="D20" i="7" s="1"/>
  <c r="D17" i="6"/>
  <c r="D20" i="6" s="1"/>
  <c r="D17" i="5"/>
  <c r="D20" i="5" s="1"/>
  <c r="F20" i="9"/>
  <c r="F20" i="5"/>
  <c r="D17" i="15"/>
  <c r="D20" i="15" s="1"/>
  <c r="D14" i="15"/>
  <c r="D26" i="15" s="1"/>
  <c r="C165" i="1"/>
  <c r="C169" i="1" s="1"/>
  <c r="C106" i="1"/>
  <c r="C110" i="1" s="1"/>
  <c r="E26" i="1" l="1"/>
  <c r="D38" i="1"/>
  <c r="H17" i="15"/>
  <c r="H20" i="15"/>
  <c r="L20" i="15" s="1"/>
  <c r="H20" i="7"/>
  <c r="L20" i="7" s="1"/>
  <c r="H20" i="8"/>
  <c r="L20" i="8" s="1"/>
  <c r="H20" i="12"/>
  <c r="L20" i="12" s="1"/>
  <c r="H17" i="12"/>
  <c r="H20" i="11"/>
  <c r="L20" i="11" s="1"/>
  <c r="H17" i="11"/>
  <c r="L17" i="11" s="1"/>
  <c r="H20" i="10"/>
  <c r="L20" i="10" s="1"/>
  <c r="H17" i="10"/>
  <c r="L17" i="10" s="1"/>
  <c r="H20" i="9"/>
  <c r="L20" i="9" s="1"/>
  <c r="H17" i="9"/>
  <c r="L17" i="9" s="1"/>
  <c r="H17" i="8"/>
  <c r="L17" i="8" s="1"/>
  <c r="H17" i="7"/>
  <c r="L17" i="7" s="1"/>
  <c r="H20" i="6"/>
  <c r="L20" i="6" s="1"/>
  <c r="H17" i="6"/>
  <c r="L17" i="6" s="1"/>
  <c r="H20" i="5"/>
  <c r="L20" i="5" s="1"/>
  <c r="H17" i="5"/>
  <c r="L17" i="5" s="1"/>
  <c r="D165" i="1"/>
  <c r="D169" i="1" s="1"/>
  <c r="D106" i="1"/>
  <c r="D110" i="1" s="1"/>
  <c r="F26" i="1" l="1"/>
  <c r="E38" i="1"/>
  <c r="L17" i="15"/>
  <c r="L17" i="12"/>
  <c r="E165" i="1"/>
  <c r="E169" i="1" s="1"/>
  <c r="E106" i="1"/>
  <c r="E110" i="1" s="1"/>
  <c r="G26" i="1" l="1"/>
  <c r="F38" i="1"/>
  <c r="F165" i="1"/>
  <c r="F169" i="1" s="1"/>
  <c r="F106" i="1"/>
  <c r="F110" i="1" s="1"/>
  <c r="H26" i="1" l="1"/>
  <c r="G38" i="1"/>
  <c r="G165" i="1"/>
  <c r="G169" i="1" s="1"/>
  <c r="G106" i="1"/>
  <c r="G110" i="1" s="1"/>
  <c r="I26" i="1" l="1"/>
  <c r="H38" i="1"/>
  <c r="H165" i="1"/>
  <c r="H169" i="1" s="1"/>
  <c r="H106" i="1"/>
  <c r="H110" i="1" s="1"/>
  <c r="J26" i="1" l="1"/>
  <c r="I38" i="1"/>
  <c r="I165" i="1"/>
  <c r="I169" i="1" s="1"/>
  <c r="I106" i="1"/>
  <c r="I110" i="1" s="1"/>
  <c r="K26" i="1" l="1"/>
  <c r="J38" i="1"/>
  <c r="J165" i="1"/>
  <c r="J169" i="1" s="1"/>
  <c r="J106" i="1"/>
  <c r="J110" i="1" s="1"/>
  <c r="L26" i="1" l="1"/>
  <c r="K38" i="1"/>
  <c r="K165" i="1"/>
  <c r="K169" i="1" s="1"/>
  <c r="K106" i="1"/>
  <c r="K110" i="1" s="1"/>
  <c r="M26" i="1" l="1"/>
  <c r="L38" i="1"/>
  <c r="L165" i="1"/>
  <c r="L169" i="1" s="1"/>
  <c r="L106" i="1"/>
  <c r="L110" i="1" s="1"/>
  <c r="N26" i="1" l="1"/>
  <c r="D13" i="19" s="1"/>
  <c r="M38" i="1"/>
  <c r="N38" i="1" s="1"/>
  <c r="H13" i="19" s="1"/>
  <c r="M165" i="1"/>
  <c r="M169" i="1" s="1"/>
  <c r="N169" i="1" s="1"/>
  <c r="M106" i="1"/>
  <c r="M110" i="1" s="1"/>
  <c r="N110" i="1" s="1"/>
  <c r="N165" i="1" l="1"/>
  <c r="F24" i="18" s="1"/>
  <c r="F28" i="18" s="1"/>
  <c r="H28" i="18" s="1"/>
  <c r="L28" i="18" s="1"/>
  <c r="N106" i="1"/>
  <c r="F23" i="18" s="1"/>
  <c r="F26" i="18" s="1"/>
  <c r="H26" i="18" s="1"/>
  <c r="L26" i="18" s="1"/>
  <c r="F23" i="15" l="1"/>
  <c r="F26" i="15" s="1"/>
  <c r="F23" i="11"/>
  <c r="F26" i="11" s="1"/>
  <c r="F23" i="9"/>
  <c r="F26" i="9" s="1"/>
  <c r="F23" i="7"/>
  <c r="F26" i="7" s="1"/>
  <c r="F23" i="5"/>
  <c r="F26" i="5" s="1"/>
  <c r="F23" i="12"/>
  <c r="F26" i="12" s="1"/>
  <c r="F23" i="10"/>
  <c r="F26" i="10" s="1"/>
  <c r="F23" i="8"/>
  <c r="F26" i="8" s="1"/>
  <c r="F23" i="6"/>
  <c r="F26" i="6" s="1"/>
  <c r="F24" i="15"/>
  <c r="F28" i="15" s="1"/>
  <c r="F24" i="12"/>
  <c r="F28" i="12" s="1"/>
  <c r="F24" i="11"/>
  <c r="F28" i="11" s="1"/>
  <c r="F24" i="10"/>
  <c r="F28" i="10" s="1"/>
  <c r="F24" i="9"/>
  <c r="F28" i="9" s="1"/>
  <c r="F24" i="8"/>
  <c r="F28" i="8" s="1"/>
  <c r="F24" i="7"/>
  <c r="F28" i="7" s="1"/>
  <c r="F24" i="6"/>
  <c r="F28" i="6" s="1"/>
  <c r="F24" i="5"/>
  <c r="F28" i="5" s="1"/>
  <c r="M134" i="17" l="1"/>
  <c r="M162" i="1" s="1"/>
  <c r="M118" i="17"/>
  <c r="M158" i="1" s="1"/>
  <c r="M114" i="17"/>
  <c r="M157" i="1" s="1"/>
  <c r="M106" i="17"/>
  <c r="M155" i="1" s="1"/>
  <c r="M102" i="17"/>
  <c r="M154" i="1" s="1"/>
  <c r="M98" i="17"/>
  <c r="M153" i="1" s="1"/>
  <c r="M82" i="17"/>
  <c r="M149" i="1" s="1"/>
  <c r="M74" i="17"/>
  <c r="M147" i="1" s="1"/>
  <c r="M187" i="1" s="1"/>
  <c r="M86" i="17"/>
  <c r="M150" i="1" s="1"/>
  <c r="M68" i="17"/>
  <c r="M124" i="1" s="1"/>
  <c r="M52" i="17"/>
  <c r="M120" i="1" s="1"/>
  <c r="M48" i="17"/>
  <c r="M119" i="1" s="1"/>
  <c r="M40" i="17"/>
  <c r="M117" i="1" s="1"/>
  <c r="M36" i="17"/>
  <c r="M116" i="1" s="1"/>
  <c r="M32" i="17"/>
  <c r="M115" i="1" s="1"/>
  <c r="M20" i="17"/>
  <c r="M112" i="1" s="1"/>
  <c r="M16" i="17"/>
  <c r="L134" i="17"/>
  <c r="L162" i="1" s="1"/>
  <c r="L118" i="17"/>
  <c r="L158" i="1" s="1"/>
  <c r="L114" i="17"/>
  <c r="L157" i="1" s="1"/>
  <c r="L106" i="17"/>
  <c r="L155" i="1" s="1"/>
  <c r="L102" i="17"/>
  <c r="L154" i="1" s="1"/>
  <c r="L98" i="17"/>
  <c r="L153" i="1" s="1"/>
  <c r="L86" i="17"/>
  <c r="L150" i="1" s="1"/>
  <c r="L82" i="17"/>
  <c r="L149" i="1" s="1"/>
  <c r="L74" i="17"/>
  <c r="L147" i="1" s="1"/>
  <c r="L187" i="1" s="1"/>
  <c r="L68" i="17"/>
  <c r="L124" i="1" s="1"/>
  <c r="L52" i="17"/>
  <c r="L120" i="1" s="1"/>
  <c r="L48" i="17"/>
  <c r="L119" i="1" s="1"/>
  <c r="L40" i="17"/>
  <c r="L117" i="1" s="1"/>
  <c r="L36" i="17"/>
  <c r="L116" i="1" s="1"/>
  <c r="L32" i="17"/>
  <c r="L115" i="1" s="1"/>
  <c r="L20" i="17"/>
  <c r="L112" i="1" s="1"/>
  <c r="L16" i="17"/>
  <c r="K134" i="17"/>
  <c r="K162" i="1" s="1"/>
  <c r="K118" i="17"/>
  <c r="K158" i="1" s="1"/>
  <c r="K114" i="17"/>
  <c r="K157" i="1" s="1"/>
  <c r="K106" i="17"/>
  <c r="K155" i="1" s="1"/>
  <c r="K102" i="17"/>
  <c r="K154" i="1" s="1"/>
  <c r="K98" i="17"/>
  <c r="K153" i="1" s="1"/>
  <c r="K86" i="17"/>
  <c r="K150" i="1" s="1"/>
  <c r="K82" i="17"/>
  <c r="K149" i="1" s="1"/>
  <c r="K74" i="17"/>
  <c r="K147" i="1" s="1"/>
  <c r="K187" i="1" s="1"/>
  <c r="K68" i="17"/>
  <c r="K124" i="1" s="1"/>
  <c r="K52" i="17"/>
  <c r="K120" i="1" s="1"/>
  <c r="K48" i="17"/>
  <c r="K119" i="1" s="1"/>
  <c r="K40" i="17"/>
  <c r="K117" i="1" s="1"/>
  <c r="K36" i="17"/>
  <c r="K116" i="1" s="1"/>
  <c r="K32" i="17"/>
  <c r="K115" i="1" s="1"/>
  <c r="K20" i="17"/>
  <c r="K112" i="1" s="1"/>
  <c r="K16" i="17"/>
  <c r="D134" i="17"/>
  <c r="D162" i="1" s="1"/>
  <c r="D118" i="17"/>
  <c r="D158" i="1" s="1"/>
  <c r="D114" i="17"/>
  <c r="D157" i="1" s="1"/>
  <c r="D106" i="17"/>
  <c r="D155" i="1" s="1"/>
  <c r="D102" i="17"/>
  <c r="D154" i="1" s="1"/>
  <c r="K111" i="1" l="1"/>
  <c r="L111" i="1"/>
  <c r="M111" i="1"/>
  <c r="D178" i="1"/>
  <c r="D197" i="1"/>
  <c r="D176" i="1"/>
  <c r="D195" i="1"/>
  <c r="D179" i="1"/>
  <c r="D198" i="1"/>
  <c r="K170" i="1"/>
  <c r="K189" i="1"/>
  <c r="K174" i="1"/>
  <c r="K193" i="1"/>
  <c r="K176" i="1"/>
  <c r="K195" i="1"/>
  <c r="K179" i="1"/>
  <c r="K198" i="1"/>
  <c r="L170" i="1"/>
  <c r="L189" i="1"/>
  <c r="L174" i="1"/>
  <c r="L193" i="1"/>
  <c r="L176" i="1"/>
  <c r="L195" i="1"/>
  <c r="L179" i="1"/>
  <c r="L198" i="1"/>
  <c r="M174" i="1"/>
  <c r="M193" i="1"/>
  <c r="M176" i="1"/>
  <c r="M195" i="1"/>
  <c r="M179" i="1"/>
  <c r="M198" i="1"/>
  <c r="D175" i="1"/>
  <c r="D194" i="1"/>
  <c r="D183" i="1"/>
  <c r="D202" i="1"/>
  <c r="K171" i="1"/>
  <c r="K190" i="1"/>
  <c r="K175" i="1"/>
  <c r="K194" i="1"/>
  <c r="K178" i="1"/>
  <c r="K197" i="1"/>
  <c r="K183" i="1"/>
  <c r="K202" i="1"/>
  <c r="L171" i="1"/>
  <c r="L190" i="1"/>
  <c r="L175" i="1"/>
  <c r="L194" i="1"/>
  <c r="L178" i="1"/>
  <c r="L197" i="1"/>
  <c r="L183" i="1"/>
  <c r="L202" i="1"/>
  <c r="M171" i="1"/>
  <c r="M190" i="1"/>
  <c r="M170" i="1"/>
  <c r="M189" i="1"/>
  <c r="M175" i="1"/>
  <c r="M194" i="1"/>
  <c r="M178" i="1"/>
  <c r="M197" i="1"/>
  <c r="M183" i="1"/>
  <c r="M202" i="1"/>
  <c r="B36" i="17"/>
  <c r="B116" i="1" s="1"/>
  <c r="B48" i="17"/>
  <c r="B119" i="1" s="1"/>
  <c r="B68" i="17"/>
  <c r="B124" i="1" s="1"/>
  <c r="B102" i="17"/>
  <c r="B154" i="1" s="1"/>
  <c r="B194" i="1" s="1"/>
  <c r="C36" i="17"/>
  <c r="C116" i="1" s="1"/>
  <c r="C48" i="17"/>
  <c r="C119" i="1" s="1"/>
  <c r="C68" i="17"/>
  <c r="C124" i="1" s="1"/>
  <c r="D36" i="17"/>
  <c r="D116" i="1" s="1"/>
  <c r="D48" i="17"/>
  <c r="D119" i="1" s="1"/>
  <c r="D68" i="17"/>
  <c r="D124" i="1" s="1"/>
  <c r="E36" i="17"/>
  <c r="E116" i="1" s="1"/>
  <c r="E48" i="17"/>
  <c r="E119" i="1" s="1"/>
  <c r="E68" i="17"/>
  <c r="E124" i="1" s="1"/>
  <c r="F36" i="17"/>
  <c r="F116" i="1" s="1"/>
  <c r="F48" i="17"/>
  <c r="F119" i="1" s="1"/>
  <c r="F68" i="17"/>
  <c r="F124" i="1" s="1"/>
  <c r="F102" i="17"/>
  <c r="F154" i="1" s="1"/>
  <c r="G40" i="17"/>
  <c r="G117" i="1" s="1"/>
  <c r="G52" i="17"/>
  <c r="G120" i="1" s="1"/>
  <c r="H40" i="17"/>
  <c r="H117" i="1" s="1"/>
  <c r="H52" i="17"/>
  <c r="H120" i="1" s="1"/>
  <c r="H102" i="17"/>
  <c r="H154" i="1" s="1"/>
  <c r="I40" i="17"/>
  <c r="I117" i="1" s="1"/>
  <c r="I52" i="17"/>
  <c r="I120" i="1" s="1"/>
  <c r="J40" i="17"/>
  <c r="J117" i="1" s="1"/>
  <c r="J52" i="17"/>
  <c r="J120" i="1" s="1"/>
  <c r="B40" i="17"/>
  <c r="B52" i="17"/>
  <c r="B120" i="1" s="1"/>
  <c r="B118" i="17"/>
  <c r="B158" i="1" s="1"/>
  <c r="C40" i="17"/>
  <c r="C117" i="1" s="1"/>
  <c r="C52" i="17"/>
  <c r="C120" i="1" s="1"/>
  <c r="D40" i="17"/>
  <c r="D117" i="1" s="1"/>
  <c r="D52" i="17"/>
  <c r="D120" i="1" s="1"/>
  <c r="E40" i="17"/>
  <c r="E117" i="1" s="1"/>
  <c r="E52" i="17"/>
  <c r="E120" i="1" s="1"/>
  <c r="F40" i="17"/>
  <c r="F117" i="1" s="1"/>
  <c r="F52" i="17"/>
  <c r="F120" i="1" s="1"/>
  <c r="G36" i="17"/>
  <c r="G116" i="1" s="1"/>
  <c r="G48" i="17"/>
  <c r="G119" i="1" s="1"/>
  <c r="G68" i="17"/>
  <c r="G124" i="1" s="1"/>
  <c r="H36" i="17"/>
  <c r="H116" i="1" s="1"/>
  <c r="H48" i="17"/>
  <c r="H119" i="1" s="1"/>
  <c r="H68" i="17"/>
  <c r="H124" i="1" s="1"/>
  <c r="I36" i="17"/>
  <c r="I116" i="1" s="1"/>
  <c r="I48" i="17"/>
  <c r="I119" i="1" s="1"/>
  <c r="I68" i="17"/>
  <c r="I124" i="1" s="1"/>
  <c r="J36" i="17"/>
  <c r="J116" i="1" s="1"/>
  <c r="J48" i="17"/>
  <c r="J119" i="1" s="1"/>
  <c r="J68" i="17"/>
  <c r="J124" i="1" s="1"/>
  <c r="B175" i="1"/>
  <c r="K163" i="1"/>
  <c r="K168" i="1"/>
  <c r="L163" i="1"/>
  <c r="L168" i="1"/>
  <c r="B117" i="1"/>
  <c r="L109" i="1"/>
  <c r="L104" i="1"/>
  <c r="M163" i="1"/>
  <c r="M168" i="1"/>
  <c r="B114" i="17"/>
  <c r="B157" i="1" s="1"/>
  <c r="B197" i="1" s="1"/>
  <c r="B134" i="17"/>
  <c r="B162" i="1" s="1"/>
  <c r="B202" i="1" s="1"/>
  <c r="C102" i="17"/>
  <c r="C154" i="1" s="1"/>
  <c r="C114" i="17"/>
  <c r="C157" i="1" s="1"/>
  <c r="C134" i="17"/>
  <c r="C162" i="1" s="1"/>
  <c r="E102" i="17"/>
  <c r="E154" i="1" s="1"/>
  <c r="E114" i="17"/>
  <c r="E157" i="1" s="1"/>
  <c r="E134" i="17"/>
  <c r="E162" i="1" s="1"/>
  <c r="F114" i="17"/>
  <c r="F157" i="1" s="1"/>
  <c r="F134" i="17"/>
  <c r="F162" i="1" s="1"/>
  <c r="G102" i="17"/>
  <c r="G154" i="1" s="1"/>
  <c r="G114" i="17"/>
  <c r="G157" i="1" s="1"/>
  <c r="G134" i="17"/>
  <c r="G162" i="1" s="1"/>
  <c r="H114" i="17"/>
  <c r="H157" i="1" s="1"/>
  <c r="H134" i="17"/>
  <c r="H162" i="1" s="1"/>
  <c r="I102" i="17"/>
  <c r="I154" i="1" s="1"/>
  <c r="I114" i="17"/>
  <c r="I157" i="1" s="1"/>
  <c r="I134" i="17"/>
  <c r="I162" i="1" s="1"/>
  <c r="J102" i="17"/>
  <c r="J154" i="1" s="1"/>
  <c r="J114" i="17"/>
  <c r="J157" i="1" s="1"/>
  <c r="J134" i="17"/>
  <c r="J162" i="1" s="1"/>
  <c r="B106" i="17"/>
  <c r="B155" i="1" s="1"/>
  <c r="B195" i="1" s="1"/>
  <c r="C106" i="17"/>
  <c r="C155" i="1" s="1"/>
  <c r="C118" i="17"/>
  <c r="C158" i="1" s="1"/>
  <c r="E106" i="17"/>
  <c r="E155" i="1" s="1"/>
  <c r="E118" i="17"/>
  <c r="E158" i="1" s="1"/>
  <c r="F106" i="17"/>
  <c r="F155" i="1" s="1"/>
  <c r="F118" i="17"/>
  <c r="F158" i="1" s="1"/>
  <c r="G106" i="17"/>
  <c r="G155" i="1" s="1"/>
  <c r="G118" i="17"/>
  <c r="G158" i="1" s="1"/>
  <c r="H106" i="17"/>
  <c r="H155" i="1" s="1"/>
  <c r="H118" i="17"/>
  <c r="H158" i="1" s="1"/>
  <c r="I106" i="17"/>
  <c r="I155" i="1" s="1"/>
  <c r="I118" i="17"/>
  <c r="I158" i="1" s="1"/>
  <c r="J106" i="17"/>
  <c r="J155" i="1" s="1"/>
  <c r="J118" i="17"/>
  <c r="J158" i="1" s="1"/>
  <c r="M104" i="1"/>
  <c r="M109" i="1"/>
  <c r="K104" i="1"/>
  <c r="K109" i="1"/>
  <c r="J98" i="17"/>
  <c r="J153" i="1" s="1"/>
  <c r="I98" i="17"/>
  <c r="I153" i="1" s="1"/>
  <c r="H98" i="17"/>
  <c r="H153" i="1" s="1"/>
  <c r="G98" i="17"/>
  <c r="G153" i="1" s="1"/>
  <c r="F98" i="17"/>
  <c r="F153" i="1" s="1"/>
  <c r="E98" i="17"/>
  <c r="E153" i="1" s="1"/>
  <c r="D98" i="17"/>
  <c r="D153" i="1" s="1"/>
  <c r="C98" i="17"/>
  <c r="C153" i="1" s="1"/>
  <c r="B98" i="17"/>
  <c r="J32" i="17"/>
  <c r="J115" i="1" s="1"/>
  <c r="I32" i="17"/>
  <c r="I115" i="1" s="1"/>
  <c r="H32" i="17"/>
  <c r="H115" i="1" s="1"/>
  <c r="G32" i="17"/>
  <c r="G115" i="1" s="1"/>
  <c r="F32" i="17"/>
  <c r="F115" i="1" s="1"/>
  <c r="E32" i="17"/>
  <c r="E115" i="1" s="1"/>
  <c r="D32" i="17"/>
  <c r="D115" i="1" s="1"/>
  <c r="C32" i="17"/>
  <c r="C115" i="1" s="1"/>
  <c r="B32" i="17"/>
  <c r="J86" i="17"/>
  <c r="J150" i="1" s="1"/>
  <c r="I86" i="17"/>
  <c r="I150" i="1" s="1"/>
  <c r="H86" i="17"/>
  <c r="H150" i="1" s="1"/>
  <c r="G86" i="17"/>
  <c r="G150" i="1" s="1"/>
  <c r="F86" i="17"/>
  <c r="F150" i="1" s="1"/>
  <c r="E86" i="17"/>
  <c r="E150" i="1" s="1"/>
  <c r="D86" i="17"/>
  <c r="D150" i="1" s="1"/>
  <c r="C86" i="17"/>
  <c r="C150" i="1" s="1"/>
  <c r="B86" i="17"/>
  <c r="J20" i="17"/>
  <c r="J112" i="1" s="1"/>
  <c r="I20" i="17"/>
  <c r="I112" i="1" s="1"/>
  <c r="H20" i="17"/>
  <c r="H112" i="1" s="1"/>
  <c r="G20" i="17"/>
  <c r="G112" i="1" s="1"/>
  <c r="F20" i="17"/>
  <c r="F112" i="1" s="1"/>
  <c r="E20" i="17"/>
  <c r="E112" i="1" s="1"/>
  <c r="D20" i="17"/>
  <c r="D112" i="1" s="1"/>
  <c r="C20" i="17"/>
  <c r="C112" i="1" s="1"/>
  <c r="B20" i="17"/>
  <c r="N133" i="17"/>
  <c r="N132" i="17"/>
  <c r="N117" i="17"/>
  <c r="N116" i="17"/>
  <c r="N113" i="17"/>
  <c r="N112" i="17"/>
  <c r="N105" i="17"/>
  <c r="N104" i="17"/>
  <c r="N101" i="17"/>
  <c r="N100" i="17"/>
  <c r="N96" i="17"/>
  <c r="N84" i="17"/>
  <c r="N80" i="17"/>
  <c r="N72" i="17"/>
  <c r="N67" i="17"/>
  <c r="N66" i="17"/>
  <c r="N51" i="17"/>
  <c r="N50" i="17"/>
  <c r="N47" i="17"/>
  <c r="N46" i="17"/>
  <c r="N39" i="17"/>
  <c r="N38" i="17"/>
  <c r="N35" i="17"/>
  <c r="N34" i="17"/>
  <c r="N30" i="17"/>
  <c r="N18" i="17"/>
  <c r="N14" i="17"/>
  <c r="N6" i="17"/>
  <c r="J82" i="17"/>
  <c r="J149" i="1" s="1"/>
  <c r="I82" i="17"/>
  <c r="I149" i="1" s="1"/>
  <c r="H82" i="17"/>
  <c r="H149" i="1" s="1"/>
  <c r="G82" i="17"/>
  <c r="G149" i="1" s="1"/>
  <c r="F82" i="17"/>
  <c r="F149" i="1" s="1"/>
  <c r="E82" i="17"/>
  <c r="E149" i="1" s="1"/>
  <c r="D82" i="17"/>
  <c r="D149" i="1" s="1"/>
  <c r="C82" i="17"/>
  <c r="C149" i="1" s="1"/>
  <c r="J16" i="17"/>
  <c r="I16" i="17"/>
  <c r="H16" i="17"/>
  <c r="G16" i="17"/>
  <c r="F16" i="17"/>
  <c r="E16" i="17"/>
  <c r="D16" i="17"/>
  <c r="C16" i="17"/>
  <c r="B16" i="17"/>
  <c r="J74" i="17"/>
  <c r="J147" i="1" s="1"/>
  <c r="J187" i="1" s="1"/>
  <c r="I74" i="17"/>
  <c r="I147" i="1" s="1"/>
  <c r="I187" i="1" s="1"/>
  <c r="H74" i="17"/>
  <c r="H147" i="1" s="1"/>
  <c r="H187" i="1" s="1"/>
  <c r="G74" i="17"/>
  <c r="G147" i="1" s="1"/>
  <c r="G187" i="1" s="1"/>
  <c r="F74" i="17"/>
  <c r="F147" i="1" s="1"/>
  <c r="F187" i="1" s="1"/>
  <c r="E74" i="17"/>
  <c r="E147" i="1" s="1"/>
  <c r="E187" i="1" s="1"/>
  <c r="D74" i="17"/>
  <c r="D147" i="1" s="1"/>
  <c r="D187" i="1" s="1"/>
  <c r="C74" i="17"/>
  <c r="C147" i="1" s="1"/>
  <c r="C187" i="1" s="1"/>
  <c r="B74" i="17"/>
  <c r="B147" i="1" s="1"/>
  <c r="B187" i="1" s="1"/>
  <c r="D111" i="1" l="1"/>
  <c r="F111" i="1"/>
  <c r="H111" i="1"/>
  <c r="J111" i="1"/>
  <c r="C111" i="1"/>
  <c r="E111" i="1"/>
  <c r="G111" i="1"/>
  <c r="I111" i="1"/>
  <c r="N134" i="17"/>
  <c r="K184" i="1"/>
  <c r="K231" i="1" s="1"/>
  <c r="L184" i="1"/>
  <c r="L231" i="1" s="1"/>
  <c r="N40" i="17"/>
  <c r="N52" i="17"/>
  <c r="M203" i="1"/>
  <c r="M235" i="1" s="1"/>
  <c r="L203" i="1"/>
  <c r="L235" i="1" s="1"/>
  <c r="K203" i="1"/>
  <c r="K235" i="1" s="1"/>
  <c r="N187" i="1"/>
  <c r="E170" i="1"/>
  <c r="E189" i="1"/>
  <c r="I170" i="1"/>
  <c r="I189" i="1"/>
  <c r="D170" i="1"/>
  <c r="D189" i="1"/>
  <c r="F170" i="1"/>
  <c r="F189" i="1"/>
  <c r="H170" i="1"/>
  <c r="H189" i="1"/>
  <c r="J170" i="1"/>
  <c r="J189" i="1"/>
  <c r="C171" i="1"/>
  <c r="C190" i="1"/>
  <c r="E171" i="1"/>
  <c r="E190" i="1"/>
  <c r="G171" i="1"/>
  <c r="G190" i="1"/>
  <c r="I171" i="1"/>
  <c r="I190" i="1"/>
  <c r="C174" i="1"/>
  <c r="C193" i="1"/>
  <c r="E174" i="1"/>
  <c r="E193" i="1"/>
  <c r="G174" i="1"/>
  <c r="G193" i="1"/>
  <c r="I174" i="1"/>
  <c r="I193" i="1"/>
  <c r="J179" i="1"/>
  <c r="J198" i="1"/>
  <c r="I179" i="1"/>
  <c r="I198" i="1"/>
  <c r="H179" i="1"/>
  <c r="H198" i="1"/>
  <c r="G179" i="1"/>
  <c r="G198" i="1"/>
  <c r="F179" i="1"/>
  <c r="F198" i="1"/>
  <c r="E179" i="1"/>
  <c r="E198" i="1"/>
  <c r="C179" i="1"/>
  <c r="C198" i="1"/>
  <c r="J178" i="1"/>
  <c r="J197" i="1"/>
  <c r="I183" i="1"/>
  <c r="I202" i="1"/>
  <c r="I175" i="1"/>
  <c r="I194" i="1"/>
  <c r="H178" i="1"/>
  <c r="H197" i="1"/>
  <c r="G178" i="1"/>
  <c r="G197" i="1"/>
  <c r="F183" i="1"/>
  <c r="F202" i="1"/>
  <c r="E183" i="1"/>
  <c r="E202" i="1"/>
  <c r="E175" i="1"/>
  <c r="E194" i="1"/>
  <c r="C178" i="1"/>
  <c r="C197" i="1"/>
  <c r="B179" i="1"/>
  <c r="B198" i="1"/>
  <c r="F175" i="1"/>
  <c r="F194" i="1"/>
  <c r="C170" i="1"/>
  <c r="C189" i="1"/>
  <c r="G170" i="1"/>
  <c r="G189" i="1"/>
  <c r="D171" i="1"/>
  <c r="D190" i="1"/>
  <c r="F171" i="1"/>
  <c r="F190" i="1"/>
  <c r="H171" i="1"/>
  <c r="H190" i="1"/>
  <c r="J171" i="1"/>
  <c r="J190" i="1"/>
  <c r="D174" i="1"/>
  <c r="D193" i="1"/>
  <c r="F174" i="1"/>
  <c r="F193" i="1"/>
  <c r="H174" i="1"/>
  <c r="H193" i="1"/>
  <c r="J174" i="1"/>
  <c r="J193" i="1"/>
  <c r="J176" i="1"/>
  <c r="J195" i="1"/>
  <c r="I176" i="1"/>
  <c r="I195" i="1"/>
  <c r="H176" i="1"/>
  <c r="H195" i="1"/>
  <c r="G176" i="1"/>
  <c r="G195" i="1"/>
  <c r="F176" i="1"/>
  <c r="F195" i="1"/>
  <c r="E176" i="1"/>
  <c r="E195" i="1"/>
  <c r="C176" i="1"/>
  <c r="C195" i="1"/>
  <c r="N195" i="1" s="1"/>
  <c r="J183" i="1"/>
  <c r="J202" i="1"/>
  <c r="J175" i="1"/>
  <c r="J194" i="1"/>
  <c r="I178" i="1"/>
  <c r="I197" i="1"/>
  <c r="H183" i="1"/>
  <c r="H202" i="1"/>
  <c r="G183" i="1"/>
  <c r="G202" i="1"/>
  <c r="G175" i="1"/>
  <c r="G194" i="1"/>
  <c r="G203" i="1" s="1"/>
  <c r="G235" i="1" s="1"/>
  <c r="F178" i="1"/>
  <c r="F197" i="1"/>
  <c r="E178" i="1"/>
  <c r="E197" i="1"/>
  <c r="N197" i="1" s="1"/>
  <c r="C183" i="1"/>
  <c r="C202" i="1"/>
  <c r="N202" i="1" s="1"/>
  <c r="C175" i="1"/>
  <c r="C194" i="1"/>
  <c r="C203" i="1" s="1"/>
  <c r="C235" i="1" s="1"/>
  <c r="H175" i="1"/>
  <c r="H194" i="1"/>
  <c r="N98" i="1"/>
  <c r="H23" i="19" s="1"/>
  <c r="N102" i="17"/>
  <c r="N114" i="17"/>
  <c r="N106" i="17"/>
  <c r="C8" i="17"/>
  <c r="E8" i="17"/>
  <c r="E104" i="1" s="1"/>
  <c r="G8" i="17"/>
  <c r="I8" i="17"/>
  <c r="B8" i="17"/>
  <c r="D8" i="17"/>
  <c r="F8" i="17"/>
  <c r="H8" i="17"/>
  <c r="J8" i="17"/>
  <c r="N96" i="1"/>
  <c r="N179" i="1"/>
  <c r="N36" i="17"/>
  <c r="N48" i="17"/>
  <c r="N68" i="17"/>
  <c r="N118" i="17"/>
  <c r="N95" i="1"/>
  <c r="N103" i="1"/>
  <c r="N99" i="1"/>
  <c r="N175" i="1"/>
  <c r="N81" i="17"/>
  <c r="G163" i="1"/>
  <c r="G168" i="1"/>
  <c r="I163" i="1"/>
  <c r="I168" i="1"/>
  <c r="N16" i="17"/>
  <c r="N20" i="17"/>
  <c r="N32" i="17"/>
  <c r="H163" i="1"/>
  <c r="H168" i="1"/>
  <c r="J163" i="1"/>
  <c r="J168" i="1"/>
  <c r="B150" i="1"/>
  <c r="B190" i="1" s="1"/>
  <c r="N86" i="17"/>
  <c r="B153" i="1"/>
  <c r="B193" i="1" s="1"/>
  <c r="N98" i="17"/>
  <c r="N147" i="1"/>
  <c r="H24" i="18" s="1"/>
  <c r="L24" i="18" s="1"/>
  <c r="B168" i="1"/>
  <c r="F163" i="1"/>
  <c r="F168" i="1"/>
  <c r="C168" i="1"/>
  <c r="C184" i="1" s="1"/>
  <c r="C231" i="1" s="1"/>
  <c r="C163" i="1"/>
  <c r="E163" i="1"/>
  <c r="E168" i="1"/>
  <c r="N7" i="17"/>
  <c r="N15" i="17"/>
  <c r="N73" i="17"/>
  <c r="B178" i="1"/>
  <c r="N157" i="1"/>
  <c r="B82" i="17"/>
  <c r="D163" i="1"/>
  <c r="D168" i="1"/>
  <c r="N74" i="17"/>
  <c r="N158" i="1"/>
  <c r="B176" i="1"/>
  <c r="N176" i="1" s="1"/>
  <c r="N155" i="1"/>
  <c r="D28" i="9" s="1"/>
  <c r="N162" i="1"/>
  <c r="B183" i="1"/>
  <c r="M184" i="1"/>
  <c r="M231" i="1" s="1"/>
  <c r="N154" i="1"/>
  <c r="N120" i="1"/>
  <c r="N117" i="1"/>
  <c r="K125" i="1"/>
  <c r="K230" i="1" s="1"/>
  <c r="K232" i="1" s="1"/>
  <c r="N124" i="1"/>
  <c r="N119" i="1"/>
  <c r="N116" i="1"/>
  <c r="M125" i="1"/>
  <c r="M230" i="1" s="1"/>
  <c r="L125" i="1"/>
  <c r="L230" i="1" s="1"/>
  <c r="L232" i="1" s="1"/>
  <c r="N97" i="17"/>
  <c r="N31" i="17"/>
  <c r="N85" i="17"/>
  <c r="N19" i="17"/>
  <c r="D14" i="12"/>
  <c r="D26" i="12" s="1"/>
  <c r="H26" i="12" s="1"/>
  <c r="D14" i="11"/>
  <c r="D26" i="11" s="1"/>
  <c r="H26" i="11" s="1"/>
  <c r="L26" i="11" s="1"/>
  <c r="D14" i="10"/>
  <c r="D26" i="10" s="1"/>
  <c r="D14" i="9"/>
  <c r="D26" i="9" s="1"/>
  <c r="H26" i="9" s="1"/>
  <c r="L26" i="9" s="1"/>
  <c r="D14" i="8"/>
  <c r="D26" i="8" s="1"/>
  <c r="H26" i="8" s="1"/>
  <c r="D14" i="7"/>
  <c r="D14" i="6"/>
  <c r="D26" i="6" s="1"/>
  <c r="D14" i="5"/>
  <c r="D26" i="5" s="1"/>
  <c r="H26" i="5" s="1"/>
  <c r="N66" i="1"/>
  <c r="F14" i="19" s="1"/>
  <c r="H14" i="19" s="1"/>
  <c r="C66" i="1"/>
  <c r="C78" i="1" s="1"/>
  <c r="D66" i="1"/>
  <c r="E66" i="1"/>
  <c r="E78" i="1" s="1"/>
  <c r="F66" i="1"/>
  <c r="G66" i="1"/>
  <c r="G78" i="1" s="1"/>
  <c r="H66" i="1"/>
  <c r="I66" i="1"/>
  <c r="I78" i="1" s="1"/>
  <c r="J66" i="1"/>
  <c r="K66" i="1"/>
  <c r="K78" i="1" s="1"/>
  <c r="L66" i="1"/>
  <c r="M66" i="1"/>
  <c r="M78" i="1" s="1"/>
  <c r="C64" i="1"/>
  <c r="D64" i="1"/>
  <c r="E64" i="1"/>
  <c r="F64" i="1"/>
  <c r="G64" i="1"/>
  <c r="H64" i="1"/>
  <c r="I64" i="1"/>
  <c r="J64" i="1"/>
  <c r="K64" i="1"/>
  <c r="L64" i="1"/>
  <c r="M64" i="1"/>
  <c r="B64" i="1"/>
  <c r="N50" i="1"/>
  <c r="N51" i="1"/>
  <c r="N54" i="1"/>
  <c r="N55" i="1"/>
  <c r="N56" i="1"/>
  <c r="N58" i="1"/>
  <c r="N59" i="1"/>
  <c r="N63" i="1"/>
  <c r="N48" i="1"/>
  <c r="D13" i="12"/>
  <c r="D13" i="11"/>
  <c r="D13" i="10"/>
  <c r="D13" i="9"/>
  <c r="D13" i="8"/>
  <c r="D13" i="7"/>
  <c r="D13" i="6"/>
  <c r="D13" i="5"/>
  <c r="D13" i="15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C35" i="1"/>
  <c r="D35" i="1"/>
  <c r="E35" i="1"/>
  <c r="F35" i="1"/>
  <c r="G35" i="1"/>
  <c r="H35" i="1"/>
  <c r="I35" i="1"/>
  <c r="J35" i="1"/>
  <c r="K35" i="1"/>
  <c r="L35" i="1"/>
  <c r="M35" i="1"/>
  <c r="C36" i="1"/>
  <c r="D36" i="1"/>
  <c r="E36" i="1"/>
  <c r="F36" i="1"/>
  <c r="G36" i="1"/>
  <c r="H36" i="1"/>
  <c r="I36" i="1"/>
  <c r="J36" i="1"/>
  <c r="K36" i="1"/>
  <c r="L36" i="1"/>
  <c r="M36" i="1"/>
  <c r="C37" i="1"/>
  <c r="D37" i="1"/>
  <c r="E37" i="1"/>
  <c r="F37" i="1"/>
  <c r="G37" i="1"/>
  <c r="H37" i="1"/>
  <c r="I37" i="1"/>
  <c r="J37" i="1"/>
  <c r="K37" i="1"/>
  <c r="L37" i="1"/>
  <c r="M37" i="1"/>
  <c r="C39" i="1"/>
  <c r="D39" i="1"/>
  <c r="E39" i="1"/>
  <c r="F39" i="1"/>
  <c r="G39" i="1"/>
  <c r="H39" i="1"/>
  <c r="I39" i="1"/>
  <c r="J39" i="1"/>
  <c r="K39" i="1"/>
  <c r="L39" i="1"/>
  <c r="M39" i="1"/>
  <c r="C40" i="1"/>
  <c r="D40" i="1"/>
  <c r="E40" i="1"/>
  <c r="F40" i="1"/>
  <c r="G40" i="1"/>
  <c r="H40" i="1"/>
  <c r="I40" i="1"/>
  <c r="J40" i="1"/>
  <c r="K40" i="1"/>
  <c r="L40" i="1"/>
  <c r="M40" i="1"/>
  <c r="C44" i="1"/>
  <c r="D44" i="1"/>
  <c r="E44" i="1"/>
  <c r="F44" i="1"/>
  <c r="G44" i="1"/>
  <c r="H44" i="1"/>
  <c r="I44" i="1"/>
  <c r="J44" i="1"/>
  <c r="K44" i="1"/>
  <c r="L44" i="1"/>
  <c r="M44" i="1"/>
  <c r="B32" i="1"/>
  <c r="B35" i="1"/>
  <c r="B36" i="1"/>
  <c r="B37" i="1"/>
  <c r="B44" i="1"/>
  <c r="B31" i="1"/>
  <c r="N31" i="1" s="1"/>
  <c r="B29" i="1"/>
  <c r="C29" i="1"/>
  <c r="D29" i="1"/>
  <c r="E29" i="1"/>
  <c r="F29" i="1"/>
  <c r="G29" i="1"/>
  <c r="H29" i="1"/>
  <c r="I29" i="1"/>
  <c r="J29" i="1"/>
  <c r="K29" i="1"/>
  <c r="L29" i="1"/>
  <c r="M29" i="1"/>
  <c r="C24" i="1"/>
  <c r="C227" i="1" s="1"/>
  <c r="D24" i="1"/>
  <c r="D227" i="1" s="1"/>
  <c r="E24" i="1"/>
  <c r="E227" i="1" s="1"/>
  <c r="F24" i="1"/>
  <c r="F227" i="1" s="1"/>
  <c r="G24" i="1"/>
  <c r="G227" i="1" s="1"/>
  <c r="H24" i="1"/>
  <c r="H227" i="1" s="1"/>
  <c r="I24" i="1"/>
  <c r="I227" i="1" s="1"/>
  <c r="J24" i="1"/>
  <c r="J227" i="1" s="1"/>
  <c r="K24" i="1"/>
  <c r="K227" i="1" s="1"/>
  <c r="L24" i="1"/>
  <c r="L227" i="1" s="1"/>
  <c r="M24" i="1"/>
  <c r="M227" i="1" s="1"/>
  <c r="B24" i="1"/>
  <c r="B227" i="1" s="1"/>
  <c r="N10" i="1"/>
  <c r="N11" i="1"/>
  <c r="N14" i="1"/>
  <c r="N15" i="1"/>
  <c r="N16" i="1"/>
  <c r="N18" i="1"/>
  <c r="N19" i="1"/>
  <c r="N23" i="1"/>
  <c r="N8" i="1"/>
  <c r="L24" i="14"/>
  <c r="B2" i="12"/>
  <c r="B2" i="11"/>
  <c r="B2" i="10"/>
  <c r="B2" i="9"/>
  <c r="B2" i="8"/>
  <c r="B2" i="7"/>
  <c r="B2" i="6"/>
  <c r="B2" i="5"/>
  <c r="B2" i="15"/>
  <c r="I2" i="14" s="1"/>
  <c r="D14" i="16"/>
  <c r="D20" i="16" s="1"/>
  <c r="F18" i="16"/>
  <c r="D26" i="7"/>
  <c r="H26" i="7" s="1"/>
  <c r="D22" i="16"/>
  <c r="F22" i="16"/>
  <c r="H32" i="16"/>
  <c r="L32" i="16" s="1"/>
  <c r="D17" i="16"/>
  <c r="D18" i="16"/>
  <c r="H28" i="15"/>
  <c r="I24" i="14"/>
  <c r="J33" i="16"/>
  <c r="B2" i="16"/>
  <c r="H9" i="16"/>
  <c r="J9" i="16"/>
  <c r="E24" i="14"/>
  <c r="F14" i="16"/>
  <c r="D26" i="16"/>
  <c r="D30" i="16" s="1"/>
  <c r="D13" i="16"/>
  <c r="H13" i="16" s="1"/>
  <c r="L13" i="16" s="1"/>
  <c r="H26" i="16"/>
  <c r="L26" i="16" s="1"/>
  <c r="F20" i="16"/>
  <c r="F17" i="16"/>
  <c r="N35" i="1" l="1"/>
  <c r="H13" i="7" s="1"/>
  <c r="L14" i="19"/>
  <c r="L70" i="1"/>
  <c r="L78" i="1"/>
  <c r="J70" i="1"/>
  <c r="J78" i="1"/>
  <c r="H70" i="1"/>
  <c r="H78" i="1"/>
  <c r="F70" i="1"/>
  <c r="F78" i="1"/>
  <c r="D70" i="1"/>
  <c r="D78" i="1"/>
  <c r="N78" i="1"/>
  <c r="L23" i="19"/>
  <c r="H28" i="19"/>
  <c r="L28" i="19" s="1"/>
  <c r="H24" i="19"/>
  <c r="M232" i="1"/>
  <c r="N193" i="1"/>
  <c r="N190" i="1"/>
  <c r="D23" i="12"/>
  <c r="D23" i="10"/>
  <c r="D23" i="11"/>
  <c r="D23" i="8"/>
  <c r="H23" i="8" s="1"/>
  <c r="D23" i="9"/>
  <c r="N183" i="1"/>
  <c r="D184" i="1"/>
  <c r="D231" i="1" s="1"/>
  <c r="N178" i="1"/>
  <c r="D203" i="1"/>
  <c r="D235" i="1" s="1"/>
  <c r="J184" i="1"/>
  <c r="J231" i="1" s="1"/>
  <c r="H203" i="1"/>
  <c r="H235" i="1" s="1"/>
  <c r="F203" i="1"/>
  <c r="F235" i="1" s="1"/>
  <c r="I203" i="1"/>
  <c r="I235" i="1" s="1"/>
  <c r="E203" i="1"/>
  <c r="E235" i="1" s="1"/>
  <c r="J203" i="1"/>
  <c r="J235" i="1" s="1"/>
  <c r="E184" i="1"/>
  <c r="E231" i="1" s="1"/>
  <c r="F184" i="1"/>
  <c r="F231" i="1" s="1"/>
  <c r="H184" i="1"/>
  <c r="H231" i="1" s="1"/>
  <c r="I184" i="1"/>
  <c r="I231" i="1" s="1"/>
  <c r="N194" i="1"/>
  <c r="N198" i="1"/>
  <c r="G184" i="1"/>
  <c r="G231" i="1" s="1"/>
  <c r="N227" i="1"/>
  <c r="F14" i="15"/>
  <c r="H14" i="15" s="1"/>
  <c r="F14" i="18"/>
  <c r="H14" i="18" s="1"/>
  <c r="L14" i="18" s="1"/>
  <c r="M84" i="1"/>
  <c r="M70" i="1"/>
  <c r="K84" i="1"/>
  <c r="K70" i="1"/>
  <c r="I84" i="1"/>
  <c r="I70" i="1"/>
  <c r="G84" i="1"/>
  <c r="G70" i="1"/>
  <c r="E84" i="1"/>
  <c r="E70" i="1"/>
  <c r="C84" i="1"/>
  <c r="C70" i="1"/>
  <c r="H17" i="16"/>
  <c r="L17" i="16" s="1"/>
  <c r="H14" i="16"/>
  <c r="L14" i="16" s="1"/>
  <c r="H109" i="1"/>
  <c r="H125" i="1" s="1"/>
  <c r="H230" i="1" s="1"/>
  <c r="H232" i="1" s="1"/>
  <c r="H104" i="1"/>
  <c r="D109" i="1"/>
  <c r="D125" i="1" s="1"/>
  <c r="D230" i="1" s="1"/>
  <c r="D104" i="1"/>
  <c r="I104" i="1"/>
  <c r="I109" i="1"/>
  <c r="I125" i="1" s="1"/>
  <c r="I230" i="1" s="1"/>
  <c r="I232" i="1" s="1"/>
  <c r="J109" i="1"/>
  <c r="J125" i="1" s="1"/>
  <c r="J230" i="1" s="1"/>
  <c r="J232" i="1" s="1"/>
  <c r="J104" i="1"/>
  <c r="F109" i="1"/>
  <c r="F125" i="1" s="1"/>
  <c r="F230" i="1" s="1"/>
  <c r="F104" i="1"/>
  <c r="G104" i="1"/>
  <c r="G109" i="1"/>
  <c r="G125" i="1" s="1"/>
  <c r="G230" i="1" s="1"/>
  <c r="C104" i="1"/>
  <c r="C109" i="1"/>
  <c r="C125" i="1" s="1"/>
  <c r="C230" i="1" s="1"/>
  <c r="C232" i="1" s="1"/>
  <c r="N88" i="1"/>
  <c r="D23" i="15" s="1"/>
  <c r="B109" i="1"/>
  <c r="N8" i="17"/>
  <c r="E109" i="1"/>
  <c r="E125" i="1" s="1"/>
  <c r="E230" i="1" s="1"/>
  <c r="J35" i="6"/>
  <c r="L26" i="8"/>
  <c r="N168" i="1"/>
  <c r="J35" i="11"/>
  <c r="D24" i="9"/>
  <c r="H24" i="9" s="1"/>
  <c r="L24" i="9" s="1"/>
  <c r="D24" i="11"/>
  <c r="H24" i="11" s="1"/>
  <c r="L24" i="11" s="1"/>
  <c r="D28" i="11"/>
  <c r="H28" i="11" s="1"/>
  <c r="L28" i="11" s="1"/>
  <c r="D28" i="10"/>
  <c r="H28" i="10" s="1"/>
  <c r="L28" i="10" s="1"/>
  <c r="D24" i="10"/>
  <c r="H24" i="10" s="1"/>
  <c r="L24" i="10" s="1"/>
  <c r="D24" i="15"/>
  <c r="B174" i="1"/>
  <c r="N174" i="1" s="1"/>
  <c r="N153" i="1"/>
  <c r="N150" i="1"/>
  <c r="B171" i="1"/>
  <c r="N171" i="1" s="1"/>
  <c r="B115" i="1"/>
  <c r="N115" i="1" s="1"/>
  <c r="N94" i="1"/>
  <c r="B112" i="1"/>
  <c r="N112" i="1" s="1"/>
  <c r="N91" i="1"/>
  <c r="B111" i="1"/>
  <c r="N90" i="1"/>
  <c r="D28" i="8"/>
  <c r="H28" i="8" s="1"/>
  <c r="L28" i="8" s="1"/>
  <c r="D24" i="8"/>
  <c r="H24" i="8" s="1"/>
  <c r="L24" i="8" s="1"/>
  <c r="D28" i="12"/>
  <c r="H28" i="12" s="1"/>
  <c r="D24" i="12"/>
  <c r="H24" i="12" s="1"/>
  <c r="L24" i="12" s="1"/>
  <c r="B149" i="1"/>
  <c r="B189" i="1" s="1"/>
  <c r="B203" i="1" s="1"/>
  <c r="B235" i="1" s="1"/>
  <c r="N82" i="17"/>
  <c r="B104" i="1"/>
  <c r="J35" i="12"/>
  <c r="N40" i="1"/>
  <c r="H13" i="11" s="1"/>
  <c r="N37" i="1"/>
  <c r="H13" i="9" s="1"/>
  <c r="G72" i="1"/>
  <c r="K77" i="1"/>
  <c r="K69" i="1"/>
  <c r="C75" i="1"/>
  <c r="C80" i="1"/>
  <c r="G71" i="1"/>
  <c r="C69" i="1"/>
  <c r="K75" i="1"/>
  <c r="G76" i="1"/>
  <c r="C77" i="1"/>
  <c r="K71" i="1"/>
  <c r="C71" i="1"/>
  <c r="G69" i="1"/>
  <c r="K72" i="1"/>
  <c r="C72" i="1"/>
  <c r="G75" i="1"/>
  <c r="K76" i="1"/>
  <c r="C76" i="1"/>
  <c r="G77" i="1"/>
  <c r="K79" i="1"/>
  <c r="C79" i="1"/>
  <c r="G79" i="1"/>
  <c r="H22" i="16"/>
  <c r="L22" i="16" s="1"/>
  <c r="N29" i="1"/>
  <c r="M71" i="1"/>
  <c r="I71" i="1"/>
  <c r="E71" i="1"/>
  <c r="M69" i="1"/>
  <c r="I69" i="1"/>
  <c r="E69" i="1"/>
  <c r="M72" i="1"/>
  <c r="I72" i="1"/>
  <c r="E72" i="1"/>
  <c r="M75" i="1"/>
  <c r="I75" i="1"/>
  <c r="E75" i="1"/>
  <c r="M76" i="1"/>
  <c r="I76" i="1"/>
  <c r="E76" i="1"/>
  <c r="M77" i="1"/>
  <c r="I77" i="1"/>
  <c r="E77" i="1"/>
  <c r="M79" i="1"/>
  <c r="I79" i="1"/>
  <c r="E79" i="1"/>
  <c r="M80" i="1"/>
  <c r="I80" i="1"/>
  <c r="E80" i="1"/>
  <c r="K80" i="1"/>
  <c r="G80" i="1"/>
  <c r="B84" i="1"/>
  <c r="B80" i="1"/>
  <c r="B79" i="1"/>
  <c r="B77" i="1"/>
  <c r="B76" i="1"/>
  <c r="B75" i="1"/>
  <c r="B69" i="1"/>
  <c r="B71" i="1"/>
  <c r="L84" i="1"/>
  <c r="L80" i="1"/>
  <c r="L79" i="1"/>
  <c r="L77" i="1"/>
  <c r="L76" i="1"/>
  <c r="L75" i="1"/>
  <c r="L72" i="1"/>
  <c r="L69" i="1"/>
  <c r="L71" i="1"/>
  <c r="J84" i="1"/>
  <c r="J80" i="1"/>
  <c r="J79" i="1"/>
  <c r="J77" i="1"/>
  <c r="J76" i="1"/>
  <c r="J75" i="1"/>
  <c r="J72" i="1"/>
  <c r="J69" i="1"/>
  <c r="J71" i="1"/>
  <c r="H84" i="1"/>
  <c r="H80" i="1"/>
  <c r="H79" i="1"/>
  <c r="H77" i="1"/>
  <c r="H76" i="1"/>
  <c r="H75" i="1"/>
  <c r="H72" i="1"/>
  <c r="H69" i="1"/>
  <c r="H71" i="1"/>
  <c r="F84" i="1"/>
  <c r="F80" i="1"/>
  <c r="F79" i="1"/>
  <c r="F77" i="1"/>
  <c r="F76" i="1"/>
  <c r="F75" i="1"/>
  <c r="F72" i="1"/>
  <c r="F69" i="1"/>
  <c r="F71" i="1"/>
  <c r="D84" i="1"/>
  <c r="D80" i="1"/>
  <c r="D79" i="1"/>
  <c r="D77" i="1"/>
  <c r="D76" i="1"/>
  <c r="D75" i="1"/>
  <c r="D72" i="1"/>
  <c r="D69" i="1"/>
  <c r="D71" i="1"/>
  <c r="F14" i="12"/>
  <c r="H14" i="12" s="1"/>
  <c r="L14" i="12" s="1"/>
  <c r="F14" i="11"/>
  <c r="H14" i="11" s="1"/>
  <c r="L14" i="11" s="1"/>
  <c r="F14" i="10"/>
  <c r="H14" i="10" s="1"/>
  <c r="L14" i="10" s="1"/>
  <c r="F14" i="9"/>
  <c r="H14" i="9" s="1"/>
  <c r="L14" i="9" s="1"/>
  <c r="F14" i="8"/>
  <c r="H14" i="8" s="1"/>
  <c r="L14" i="8" s="1"/>
  <c r="F14" i="7"/>
  <c r="H14" i="7" s="1"/>
  <c r="L14" i="7" s="1"/>
  <c r="F14" i="6"/>
  <c r="H14" i="6" s="1"/>
  <c r="L14" i="6" s="1"/>
  <c r="F14" i="5"/>
  <c r="H14" i="5" s="1"/>
  <c r="H26" i="15"/>
  <c r="H28" i="9"/>
  <c r="H18" i="16"/>
  <c r="L18" i="16" s="1"/>
  <c r="P24" i="14"/>
  <c r="J35" i="10"/>
  <c r="H20" i="16"/>
  <c r="L20" i="16" s="1"/>
  <c r="M45" i="1"/>
  <c r="M226" i="1" s="1"/>
  <c r="M228" i="1" s="1"/>
  <c r="K45" i="1"/>
  <c r="K226" i="1" s="1"/>
  <c r="K228" i="1" s="1"/>
  <c r="I45" i="1"/>
  <c r="I226" i="1" s="1"/>
  <c r="I228" i="1" s="1"/>
  <c r="G45" i="1"/>
  <c r="G226" i="1" s="1"/>
  <c r="G228" i="1" s="1"/>
  <c r="E45" i="1"/>
  <c r="E226" i="1" s="1"/>
  <c r="E228" i="1" s="1"/>
  <c r="C45" i="1"/>
  <c r="C226" i="1" s="1"/>
  <c r="C228" i="1" s="1"/>
  <c r="H26" i="6"/>
  <c r="L26" i="6" s="1"/>
  <c r="H26" i="10"/>
  <c r="L26" i="10" s="1"/>
  <c r="N44" i="1"/>
  <c r="H13" i="12" s="1"/>
  <c r="N39" i="1"/>
  <c r="N36" i="1"/>
  <c r="H13" i="8" s="1"/>
  <c r="B45" i="1"/>
  <c r="B226" i="1" s="1"/>
  <c r="B228" i="1" s="1"/>
  <c r="L45" i="1"/>
  <c r="L226" i="1" s="1"/>
  <c r="L228" i="1" s="1"/>
  <c r="J45" i="1"/>
  <c r="J226" i="1" s="1"/>
  <c r="J228" i="1" s="1"/>
  <c r="H45" i="1"/>
  <c r="H226" i="1" s="1"/>
  <c r="H228" i="1" s="1"/>
  <c r="F45" i="1"/>
  <c r="F226" i="1" s="1"/>
  <c r="F228" i="1" s="1"/>
  <c r="D45" i="1"/>
  <c r="D226" i="1" s="1"/>
  <c r="D228" i="1" s="1"/>
  <c r="N64" i="1"/>
  <c r="N32" i="1"/>
  <c r="H13" i="6" s="1"/>
  <c r="H13" i="5"/>
  <c r="N24" i="1"/>
  <c r="H30" i="16"/>
  <c r="L30" i="16" s="1"/>
  <c r="J35" i="8"/>
  <c r="J35" i="7"/>
  <c r="L26" i="7"/>
  <c r="L28" i="15"/>
  <c r="J35" i="15"/>
  <c r="J35" i="5"/>
  <c r="H16" i="3"/>
  <c r="J35" i="9"/>
  <c r="L26" i="5"/>
  <c r="L13" i="7"/>
  <c r="H15" i="3"/>
  <c r="L26" i="12"/>
  <c r="M85" i="1" l="1"/>
  <c r="M234" i="1" s="1"/>
  <c r="L14" i="5"/>
  <c r="F20" i="3"/>
  <c r="J20" i="3" s="1"/>
  <c r="L13" i="12"/>
  <c r="L28" i="12"/>
  <c r="L28" i="9"/>
  <c r="H23" i="10"/>
  <c r="L23" i="10" s="1"/>
  <c r="F12" i="3"/>
  <c r="L13" i="8"/>
  <c r="L13" i="11"/>
  <c r="L13" i="5"/>
  <c r="L13" i="6"/>
  <c r="L13" i="9"/>
  <c r="O13" i="1"/>
  <c r="O21" i="1"/>
  <c r="O22" i="1"/>
  <c r="O20" i="1"/>
  <c r="O17" i="1"/>
  <c r="E215" i="1" s="1"/>
  <c r="O12" i="1"/>
  <c r="K85" i="1"/>
  <c r="K234" i="1" s="1"/>
  <c r="N70" i="1"/>
  <c r="L14" i="15"/>
  <c r="L23" i="8"/>
  <c r="H23" i="9"/>
  <c r="H23" i="11"/>
  <c r="H23" i="12"/>
  <c r="H23" i="15"/>
  <c r="L24" i="19"/>
  <c r="H13" i="10"/>
  <c r="E232" i="1"/>
  <c r="G232" i="1"/>
  <c r="D23" i="6"/>
  <c r="D23" i="7"/>
  <c r="H23" i="18"/>
  <c r="H24" i="15"/>
  <c r="L24" i="15" s="1"/>
  <c r="D232" i="1"/>
  <c r="F232" i="1"/>
  <c r="N235" i="1"/>
  <c r="N189" i="1"/>
  <c r="N203" i="1" s="1"/>
  <c r="F16" i="3"/>
  <c r="L23" i="15"/>
  <c r="N109" i="1"/>
  <c r="O23" i="1"/>
  <c r="D221" i="1" s="1"/>
  <c r="O9" i="1"/>
  <c r="H13" i="15"/>
  <c r="L13" i="18"/>
  <c r="J12" i="3"/>
  <c r="O10" i="1"/>
  <c r="O16" i="1"/>
  <c r="O8" i="1"/>
  <c r="O11" i="1"/>
  <c r="O18" i="1"/>
  <c r="O14" i="1"/>
  <c r="O19" i="1"/>
  <c r="O15" i="1"/>
  <c r="L26" i="15"/>
  <c r="N111" i="1"/>
  <c r="B125" i="1"/>
  <c r="B230" i="1" s="1"/>
  <c r="D28" i="6"/>
  <c r="H28" i="6" s="1"/>
  <c r="L28" i="6" s="1"/>
  <c r="D24" i="6"/>
  <c r="H24" i="6" s="1"/>
  <c r="L24" i="6" s="1"/>
  <c r="B170" i="1"/>
  <c r="N149" i="1"/>
  <c r="B163" i="1"/>
  <c r="D23" i="5"/>
  <c r="N104" i="1"/>
  <c r="D24" i="7"/>
  <c r="H24" i="7" s="1"/>
  <c r="L24" i="7" s="1"/>
  <c r="D28" i="7"/>
  <c r="H28" i="7" s="1"/>
  <c r="C85" i="1"/>
  <c r="C234" i="1" s="1"/>
  <c r="G85" i="1"/>
  <c r="G234" i="1" s="1"/>
  <c r="D85" i="1"/>
  <c r="D234" i="1" s="1"/>
  <c r="N77" i="1"/>
  <c r="H85" i="1"/>
  <c r="H234" i="1" s="1"/>
  <c r="L85" i="1"/>
  <c r="L234" i="1" s="1"/>
  <c r="E85" i="1"/>
  <c r="E234" i="1" s="1"/>
  <c r="I85" i="1"/>
  <c r="I234" i="1" s="1"/>
  <c r="N71" i="1"/>
  <c r="N72" i="1"/>
  <c r="N76" i="1"/>
  <c r="N79" i="1"/>
  <c r="F10" i="3"/>
  <c r="N69" i="1"/>
  <c r="N84" i="1"/>
  <c r="F85" i="1"/>
  <c r="F234" i="1" s="1"/>
  <c r="J85" i="1"/>
  <c r="J234" i="1" s="1"/>
  <c r="B85" i="1"/>
  <c r="B234" i="1" s="1"/>
  <c r="N75" i="1"/>
  <c r="N80" i="1"/>
  <c r="F15" i="3"/>
  <c r="N45" i="1"/>
  <c r="H33" i="16"/>
  <c r="L33" i="16" s="1"/>
  <c r="H19" i="3"/>
  <c r="F17" i="3" l="1"/>
  <c r="J17" i="3" s="1"/>
  <c r="L28" i="7"/>
  <c r="C215" i="1"/>
  <c r="C210" i="1"/>
  <c r="E210" i="1"/>
  <c r="G210" i="1"/>
  <c r="I210" i="1"/>
  <c r="K210" i="1"/>
  <c r="M210" i="1"/>
  <c r="D210" i="1"/>
  <c r="F210" i="1"/>
  <c r="H210" i="1"/>
  <c r="J210" i="1"/>
  <c r="L210" i="1"/>
  <c r="B210" i="1"/>
  <c r="C220" i="1"/>
  <c r="E220" i="1"/>
  <c r="G220" i="1"/>
  <c r="I220" i="1"/>
  <c r="K220" i="1"/>
  <c r="M220" i="1"/>
  <c r="D220" i="1"/>
  <c r="F220" i="1"/>
  <c r="H220" i="1"/>
  <c r="J220" i="1"/>
  <c r="L220" i="1"/>
  <c r="B220" i="1"/>
  <c r="D211" i="1"/>
  <c r="F211" i="1"/>
  <c r="H211" i="1"/>
  <c r="J211" i="1"/>
  <c r="L211" i="1"/>
  <c r="B211" i="1"/>
  <c r="C211" i="1"/>
  <c r="E211" i="1"/>
  <c r="G211" i="1"/>
  <c r="I211" i="1"/>
  <c r="K211" i="1"/>
  <c r="M211" i="1"/>
  <c r="C218" i="1"/>
  <c r="E218" i="1"/>
  <c r="G218" i="1"/>
  <c r="I218" i="1"/>
  <c r="K218" i="1"/>
  <c r="M218" i="1"/>
  <c r="D218" i="1"/>
  <c r="F218" i="1"/>
  <c r="H218" i="1"/>
  <c r="J218" i="1"/>
  <c r="L218" i="1"/>
  <c r="B218" i="1"/>
  <c r="C219" i="1"/>
  <c r="E219" i="1"/>
  <c r="G219" i="1"/>
  <c r="I219" i="1"/>
  <c r="K219" i="1"/>
  <c r="M219" i="1"/>
  <c r="D219" i="1"/>
  <c r="F219" i="1"/>
  <c r="H219" i="1"/>
  <c r="J219" i="1"/>
  <c r="L219" i="1"/>
  <c r="B219" i="1"/>
  <c r="F24" i="3"/>
  <c r="H24" i="3"/>
  <c r="L13" i="10"/>
  <c r="O93" i="1"/>
  <c r="F33" i="22" s="1"/>
  <c r="O101" i="1"/>
  <c r="F33" i="24" s="1"/>
  <c r="O100" i="1"/>
  <c r="F33" i="23" s="1"/>
  <c r="O102" i="1"/>
  <c r="F33" i="25" s="1"/>
  <c r="O97" i="1"/>
  <c r="F33" i="19" s="1"/>
  <c r="O92" i="1"/>
  <c r="F33" i="20" s="1"/>
  <c r="H215" i="1"/>
  <c r="K215" i="1"/>
  <c r="L215" i="1"/>
  <c r="D215" i="1"/>
  <c r="G215" i="1"/>
  <c r="B215" i="1"/>
  <c r="J215" i="1"/>
  <c r="F215" i="1"/>
  <c r="M215" i="1"/>
  <c r="I215" i="1"/>
  <c r="L23" i="18"/>
  <c r="H23" i="6"/>
  <c r="H23" i="5"/>
  <c r="H23" i="7"/>
  <c r="L23" i="12"/>
  <c r="L23" i="11"/>
  <c r="L23" i="9"/>
  <c r="L13" i="19"/>
  <c r="O89" i="1"/>
  <c r="F33" i="18" s="1"/>
  <c r="O103" i="1"/>
  <c r="F33" i="12" s="1"/>
  <c r="O98" i="1"/>
  <c r="O99" i="1"/>
  <c r="F33" i="11" s="1"/>
  <c r="O95" i="1"/>
  <c r="F33" i="8" s="1"/>
  <c r="O96" i="1"/>
  <c r="F33" i="9" s="1"/>
  <c r="O88" i="1"/>
  <c r="O94" i="1"/>
  <c r="F33" i="7" s="1"/>
  <c r="O91" i="1"/>
  <c r="F33" i="6" s="1"/>
  <c r="O90" i="1"/>
  <c r="F33" i="5" s="1"/>
  <c r="N234" i="1"/>
  <c r="N230" i="1"/>
  <c r="L13" i="15"/>
  <c r="I221" i="1"/>
  <c r="D207" i="1"/>
  <c r="F207" i="1"/>
  <c r="H207" i="1"/>
  <c r="J207" i="1"/>
  <c r="L207" i="1"/>
  <c r="B207" i="1"/>
  <c r="C207" i="1"/>
  <c r="E207" i="1"/>
  <c r="G207" i="1"/>
  <c r="I207" i="1"/>
  <c r="K207" i="1"/>
  <c r="M207" i="1"/>
  <c r="B221" i="1"/>
  <c r="N125" i="1"/>
  <c r="M221" i="1"/>
  <c r="E221" i="1"/>
  <c r="J221" i="1"/>
  <c r="K221" i="1"/>
  <c r="G221" i="1"/>
  <c r="C221" i="1"/>
  <c r="L221" i="1"/>
  <c r="F221" i="1"/>
  <c r="H221" i="1"/>
  <c r="D217" i="1"/>
  <c r="F217" i="1"/>
  <c r="H217" i="1"/>
  <c r="J217" i="1"/>
  <c r="L217" i="1"/>
  <c r="B217" i="1"/>
  <c r="C217" i="1"/>
  <c r="E217" i="1"/>
  <c r="G217" i="1"/>
  <c r="I217" i="1"/>
  <c r="K217" i="1"/>
  <c r="M217" i="1"/>
  <c r="D216" i="1"/>
  <c r="F216" i="1"/>
  <c r="H216" i="1"/>
  <c r="J216" i="1"/>
  <c r="L216" i="1"/>
  <c r="B216" i="1"/>
  <c r="C216" i="1"/>
  <c r="E216" i="1"/>
  <c r="G216" i="1"/>
  <c r="I216" i="1"/>
  <c r="K216" i="1"/>
  <c r="M216" i="1"/>
  <c r="C206" i="1"/>
  <c r="E206" i="1"/>
  <c r="G206" i="1"/>
  <c r="I206" i="1"/>
  <c r="K206" i="1"/>
  <c r="M206" i="1"/>
  <c r="O24" i="1"/>
  <c r="D206" i="1"/>
  <c r="F206" i="1"/>
  <c r="H206" i="1"/>
  <c r="J206" i="1"/>
  <c r="L206" i="1"/>
  <c r="B206" i="1"/>
  <c r="D208" i="1"/>
  <c r="F208" i="1"/>
  <c r="H208" i="1"/>
  <c r="J208" i="1"/>
  <c r="L208" i="1"/>
  <c r="B208" i="1"/>
  <c r="C208" i="1"/>
  <c r="E208" i="1"/>
  <c r="G208" i="1"/>
  <c r="I208" i="1"/>
  <c r="K208" i="1"/>
  <c r="M208" i="1"/>
  <c r="D213" i="1"/>
  <c r="F213" i="1"/>
  <c r="H213" i="1"/>
  <c r="J213" i="1"/>
  <c r="L213" i="1"/>
  <c r="B213" i="1"/>
  <c r="C213" i="1"/>
  <c r="E213" i="1"/>
  <c r="G213" i="1"/>
  <c r="I213" i="1"/>
  <c r="K213" i="1"/>
  <c r="M213" i="1"/>
  <c r="D212" i="1"/>
  <c r="F212" i="1"/>
  <c r="H212" i="1"/>
  <c r="J212" i="1"/>
  <c r="L212" i="1"/>
  <c r="B212" i="1"/>
  <c r="C212" i="1"/>
  <c r="E212" i="1"/>
  <c r="G212" i="1"/>
  <c r="I212" i="1"/>
  <c r="K212" i="1"/>
  <c r="M212" i="1"/>
  <c r="D209" i="1"/>
  <c r="F209" i="1"/>
  <c r="H209" i="1"/>
  <c r="J209" i="1"/>
  <c r="L209" i="1"/>
  <c r="B209" i="1"/>
  <c r="C209" i="1"/>
  <c r="E209" i="1"/>
  <c r="G209" i="1"/>
  <c r="I209" i="1"/>
  <c r="K209" i="1"/>
  <c r="M209" i="1"/>
  <c r="D214" i="1"/>
  <c r="F214" i="1"/>
  <c r="H214" i="1"/>
  <c r="J214" i="1"/>
  <c r="L214" i="1"/>
  <c r="B214" i="1"/>
  <c r="C214" i="1"/>
  <c r="E214" i="1"/>
  <c r="G214" i="1"/>
  <c r="I214" i="1"/>
  <c r="K214" i="1"/>
  <c r="M214" i="1"/>
  <c r="D24" i="5"/>
  <c r="D28" i="5"/>
  <c r="H28" i="5" s="1"/>
  <c r="N163" i="1"/>
  <c r="N170" i="1"/>
  <c r="N184" i="1" s="1"/>
  <c r="B184" i="1"/>
  <c r="B231" i="1" s="1"/>
  <c r="N231" i="1" s="1"/>
  <c r="N85" i="1"/>
  <c r="H25" i="3"/>
  <c r="F21" i="3" l="1"/>
  <c r="N219" i="1"/>
  <c r="H31" i="24" s="1"/>
  <c r="N218" i="1"/>
  <c r="H31" i="23" s="1"/>
  <c r="N211" i="1"/>
  <c r="H31" i="22" s="1"/>
  <c r="N220" i="1"/>
  <c r="H31" i="25" s="1"/>
  <c r="N210" i="1"/>
  <c r="H31" i="20" s="1"/>
  <c r="J24" i="3"/>
  <c r="N215" i="1"/>
  <c r="H31" i="19" s="1"/>
  <c r="L23" i="7"/>
  <c r="L23" i="5"/>
  <c r="L23" i="6"/>
  <c r="F33" i="10"/>
  <c r="O104" i="1"/>
  <c r="F33" i="15"/>
  <c r="H24" i="5"/>
  <c r="F18" i="3" s="1"/>
  <c r="N232" i="1"/>
  <c r="B232" i="1"/>
  <c r="N207" i="1"/>
  <c r="H31" i="18" s="1"/>
  <c r="N221" i="1"/>
  <c r="H31" i="12" s="1"/>
  <c r="H11" i="3"/>
  <c r="N209" i="1"/>
  <c r="H31" i="6" s="1"/>
  <c r="N213" i="1"/>
  <c r="H31" i="8" s="1"/>
  <c r="B222" i="1"/>
  <c r="B237" i="1" s="1"/>
  <c r="N206" i="1"/>
  <c r="J222" i="1"/>
  <c r="J237" i="1" s="1"/>
  <c r="F222" i="1"/>
  <c r="F237" i="1" s="1"/>
  <c r="K222" i="1"/>
  <c r="K237" i="1" s="1"/>
  <c r="G222" i="1"/>
  <c r="G237" i="1" s="1"/>
  <c r="C222" i="1"/>
  <c r="C237" i="1" s="1"/>
  <c r="N216" i="1"/>
  <c r="N214" i="1"/>
  <c r="H31" i="9" s="1"/>
  <c r="N212" i="1"/>
  <c r="H31" i="7" s="1"/>
  <c r="N208" i="1"/>
  <c r="H31" i="5" s="1"/>
  <c r="L222" i="1"/>
  <c r="L237" i="1" s="1"/>
  <c r="H222" i="1"/>
  <c r="H237" i="1" s="1"/>
  <c r="D222" i="1"/>
  <c r="D237" i="1" s="1"/>
  <c r="M222" i="1"/>
  <c r="M237" i="1" s="1"/>
  <c r="I222" i="1"/>
  <c r="I237" i="1" s="1"/>
  <c r="E222" i="1"/>
  <c r="E237" i="1" s="1"/>
  <c r="N217" i="1"/>
  <c r="H31" i="11" s="1"/>
  <c r="L28" i="5"/>
  <c r="N17" i="14" l="1"/>
  <c r="N13" i="14"/>
  <c r="N16" i="14"/>
  <c r="L31" i="20"/>
  <c r="L31" i="22"/>
  <c r="L31" i="24"/>
  <c r="N12" i="14"/>
  <c r="N19" i="14"/>
  <c r="N18" i="14"/>
  <c r="L31" i="25"/>
  <c r="L31" i="23"/>
  <c r="H13" i="3"/>
  <c r="L31" i="11"/>
  <c r="L31" i="7"/>
  <c r="L31" i="8"/>
  <c r="L31" i="5"/>
  <c r="L31" i="9"/>
  <c r="L31" i="6"/>
  <c r="L31" i="12"/>
  <c r="H31" i="10"/>
  <c r="L24" i="5"/>
  <c r="H31" i="15"/>
  <c r="N237" i="1"/>
  <c r="N222" i="1"/>
  <c r="J18" i="3"/>
  <c r="F19" i="3"/>
  <c r="G20" i="14"/>
  <c r="J21" i="3"/>
  <c r="N24" i="14" l="1"/>
  <c r="F22" i="3"/>
  <c r="J22" i="3" s="1"/>
  <c r="L31" i="10"/>
  <c r="L31" i="19"/>
  <c r="L31" i="15"/>
  <c r="L31" i="18"/>
  <c r="N226" i="1"/>
  <c r="N228" i="1" s="1"/>
  <c r="G24" i="14"/>
  <c r="J19" i="3"/>
  <c r="D33" i="15" l="1"/>
  <c r="D33" i="19" l="1"/>
  <c r="H33" i="19" s="1"/>
  <c r="D33" i="5"/>
  <c r="H33" i="5" s="1"/>
  <c r="D33" i="25"/>
  <c r="H33" i="25" s="1"/>
  <c r="D33" i="18"/>
  <c r="H33" i="18" s="1"/>
  <c r="D33" i="12"/>
  <c r="H33" i="12" s="1"/>
  <c r="D33" i="8"/>
  <c r="H33" i="8" s="1"/>
  <c r="D33" i="20"/>
  <c r="H33" i="20" s="1"/>
  <c r="H33" i="15"/>
  <c r="D33" i="23"/>
  <c r="H33" i="23" s="1"/>
  <c r="D33" i="24"/>
  <c r="H33" i="24" s="1"/>
  <c r="D33" i="22"/>
  <c r="H33" i="22" s="1"/>
  <c r="D33" i="7"/>
  <c r="H33" i="7" s="1"/>
  <c r="D33" i="11"/>
  <c r="H33" i="11" s="1"/>
  <c r="D33" i="6"/>
  <c r="H33" i="6" s="1"/>
  <c r="D33" i="10"/>
  <c r="H33" i="10" s="1"/>
  <c r="D33" i="9"/>
  <c r="H33" i="9" s="1"/>
  <c r="L33" i="9" l="1"/>
  <c r="H35" i="9"/>
  <c r="L35" i="9" s="1"/>
  <c r="H35" i="6"/>
  <c r="L35" i="6" s="1"/>
  <c r="L33" i="6"/>
  <c r="H35" i="7"/>
  <c r="L35" i="7" s="1"/>
  <c r="L33" i="7"/>
  <c r="H35" i="24"/>
  <c r="L35" i="24" s="1"/>
  <c r="L33" i="24"/>
  <c r="H35" i="15"/>
  <c r="L35" i="15" s="1"/>
  <c r="L33" i="15"/>
  <c r="F23" i="3"/>
  <c r="L33" i="8"/>
  <c r="H35" i="8"/>
  <c r="L35" i="8" s="1"/>
  <c r="H35" i="18"/>
  <c r="L35" i="18" s="1"/>
  <c r="L33" i="18"/>
  <c r="H35" i="5"/>
  <c r="L35" i="5" s="1"/>
  <c r="L33" i="5"/>
  <c r="L33" i="10"/>
  <c r="H35" i="10"/>
  <c r="L35" i="10" s="1"/>
  <c r="H35" i="11"/>
  <c r="L35" i="11" s="1"/>
  <c r="L33" i="11"/>
  <c r="H35" i="22"/>
  <c r="L35" i="22" s="1"/>
  <c r="L33" i="22"/>
  <c r="H35" i="23"/>
  <c r="L35" i="23" s="1"/>
  <c r="L33" i="23"/>
  <c r="H35" i="20"/>
  <c r="L35" i="20" s="1"/>
  <c r="L33" i="20"/>
  <c r="L33" i="12"/>
  <c r="H35" i="12"/>
  <c r="L35" i="12" s="1"/>
  <c r="L33" i="25"/>
  <c r="H35" i="25"/>
  <c r="L35" i="25" s="1"/>
  <c r="L33" i="19"/>
  <c r="H35" i="19"/>
  <c r="L35" i="19" s="1"/>
  <c r="F25" i="3" l="1"/>
  <c r="F11" i="3" s="1"/>
  <c r="F236" i="1"/>
  <c r="F238" i="1" s="1"/>
  <c r="G236" i="1"/>
  <c r="G238" i="1" s="1"/>
  <c r="I236" i="1"/>
  <c r="I238" i="1" s="1"/>
  <c r="J23" i="3"/>
  <c r="J25" i="3" s="1"/>
  <c r="L236" i="1"/>
  <c r="L238" i="1" s="1"/>
  <c r="J236" i="1"/>
  <c r="J238" i="1" s="1"/>
  <c r="H236" i="1"/>
  <c r="H238" i="1" s="1"/>
  <c r="E236" i="1"/>
  <c r="E238" i="1" s="1"/>
  <c r="K236" i="1"/>
  <c r="K238" i="1" s="1"/>
  <c r="D236" i="1"/>
  <c r="D238" i="1" s="1"/>
  <c r="M236" i="1"/>
  <c r="M238" i="1" s="1"/>
  <c r="B236" i="1"/>
  <c r="C236" i="1"/>
  <c r="C238" i="1" s="1"/>
  <c r="N236" i="1" l="1"/>
  <c r="N238" i="1" s="1"/>
  <c r="B238" i="1"/>
  <c r="J11" i="3"/>
  <c r="F13" i="3"/>
  <c r="J13" i="3" l="1"/>
</calcChain>
</file>

<file path=xl/comments1.xml><?xml version="1.0" encoding="utf-8"?>
<comments xmlns="http://schemas.openxmlformats.org/spreadsheetml/2006/main">
  <authors>
    <author>Jennifer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Baldwin City will begin taking 100 KW 6/12.  Used average usage of Augusta, Mulvane &amp; Neodesha (600 KW) and divided in by 6.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Jennifer:</t>
        </r>
        <r>
          <rPr>
            <sz val="9"/>
            <color indexed="81"/>
            <rFont val="Tahoma"/>
            <family val="2"/>
          </rPr>
          <t xml:space="preserve">
Used Garnett &amp; Osawatomie averge and divided by 2 since they have 400 MW capacity vs. Oberlin's 200 MW</t>
        </r>
      </text>
    </comment>
  </commentList>
</comments>
</file>

<file path=xl/sharedStrings.xml><?xml version="1.0" encoding="utf-8"?>
<sst xmlns="http://schemas.openxmlformats.org/spreadsheetml/2006/main" count="953" uniqueCount="186">
  <si>
    <t>KANSAS MUNICIPAL ENERGY AGENCY</t>
  </si>
  <si>
    <t>SWPA PROJECT - DATA</t>
  </si>
  <si>
    <t>Total</t>
  </si>
  <si>
    <t>Augusta</t>
  </si>
  <si>
    <t>Chanute</t>
  </si>
  <si>
    <t>Garnett</t>
  </si>
  <si>
    <t>Iola</t>
  </si>
  <si>
    <t>Mulvane</t>
  </si>
  <si>
    <t>Neodesha</t>
  </si>
  <si>
    <t>Osawatomie</t>
  </si>
  <si>
    <t>Ottawa</t>
  </si>
  <si>
    <t>Wellington</t>
  </si>
  <si>
    <t>SWPA HYDRO POWER PROJECT DESCRIPTION</t>
  </si>
  <si>
    <t>In 1983, the Agency entered into a contract with the Southwestern Power Administration</t>
  </si>
  <si>
    <t xml:space="preserve">border.  Pending a solution to the transmission cost problem, the cities combined their </t>
  </si>
  <si>
    <t xml:space="preserve">entitlements into a pool for redistribution to cities that could economically take delivery. </t>
  </si>
  <si>
    <t>of their SWPA power.  Instead, the Class B Cities temporarily assigned their entitlements to</t>
  </si>
  <si>
    <t>the pool .  The other nine cities (the Class A Cities) take delivery of the SWPA power, including</t>
  </si>
  <si>
    <t>their portion of the entitlements subordinated to the pool by the Class B Cities.</t>
  </si>
  <si>
    <t>The Class B Cities are compensated for subordinating their SWPA entitlements to the pool</t>
  </si>
  <si>
    <t>with a 10% markup paid by the Class A Cities.</t>
  </si>
  <si>
    <t>SWPA HYDRO PROJECT  --  SUMMARY</t>
  </si>
  <si>
    <t>Change</t>
  </si>
  <si>
    <t>Description</t>
  </si>
  <si>
    <t>Budget</t>
  </si>
  <si>
    <t>Amount</t>
  </si>
  <si>
    <t>Percent</t>
  </si>
  <si>
    <t>Revenues:</t>
  </si>
  <si>
    <t>Class A City payments</t>
  </si>
  <si>
    <t>Class B City payments</t>
  </si>
  <si>
    <t>Total Revenues</t>
  </si>
  <si>
    <t>Expenses:</t>
  </si>
  <si>
    <t>SWPA capacity charges</t>
  </si>
  <si>
    <t>Pool capacity markup</t>
  </si>
  <si>
    <t>SWPA energy charges</t>
  </si>
  <si>
    <t>Pool energy markup</t>
  </si>
  <si>
    <t>Agency expense - A Cities</t>
  </si>
  <si>
    <t>Agency expense - B Cities</t>
  </si>
  <si>
    <t>Total Expenses</t>
  </si>
  <si>
    <t>Capacity Charges:</t>
  </si>
  <si>
    <t>Pool markup</t>
  </si>
  <si>
    <t>KW at</t>
  </si>
  <si>
    <t>Energy Charges:</t>
  </si>
  <si>
    <t>Pool markup on firm energy,</t>
  </si>
  <si>
    <t>MWh at</t>
  </si>
  <si>
    <t>Pool markup on supplemental energy,</t>
  </si>
  <si>
    <t>Total City Payments</t>
  </si>
  <si>
    <t>SWPA HYDRO PROJECT  --   CHANUTE</t>
  </si>
  <si>
    <t>SWPA HYDRO PROJECT  --   GARNETT</t>
  </si>
  <si>
    <t>SWPA HYDRO PROJECT  --   IOLA</t>
  </si>
  <si>
    <t>SWPA HYDRO PROJECT  --   MULVANE</t>
  </si>
  <si>
    <t>SWPA HYDRO PROJECT  --   NEODESHA</t>
  </si>
  <si>
    <t>SWPA HYDRO PROJECT  --   OSAWATOMIE</t>
  </si>
  <si>
    <t>SWPA HYDRO PROJECT  --   OTTAWA</t>
  </si>
  <si>
    <t>SWPA HYDRO PROJECT  --   WELLINGTON</t>
  </si>
  <si>
    <t>SWPA HYDRO PROJECT  --  CLASS B CITIES</t>
  </si>
  <si>
    <t>KW</t>
  </si>
  <si>
    <t>Markup</t>
  </si>
  <si>
    <t>Agency</t>
  </si>
  <si>
    <t>Class B City</t>
  </si>
  <si>
    <t>Share</t>
  </si>
  <si>
    <t>Revenues</t>
  </si>
  <si>
    <t>Expense</t>
  </si>
  <si>
    <t>Baldwin City</t>
  </si>
  <si>
    <t>Colby</t>
  </si>
  <si>
    <t>Herington</t>
  </si>
  <si>
    <t>Holton</t>
  </si>
  <si>
    <t>Horton</t>
  </si>
  <si>
    <t>LaCrosse</t>
  </si>
  <si>
    <t>Lindsborg</t>
  </si>
  <si>
    <t>Norton</t>
  </si>
  <si>
    <t>Oberlin</t>
  </si>
  <si>
    <t>St. Francis</t>
  </si>
  <si>
    <t>Sharon Springs</t>
  </si>
  <si>
    <t>Wamego</t>
  </si>
  <si>
    <t xml:space="preserve">    Totals</t>
  </si>
  <si>
    <t xml:space="preserve">Agency expense allocated on the  basis of </t>
  </si>
  <si>
    <t>firm energy entitlements:</t>
  </si>
  <si>
    <t>MWh</t>
  </si>
  <si>
    <t>SPRA membership</t>
  </si>
  <si>
    <t>SPRA membership allocated on the basis of</t>
  </si>
  <si>
    <t xml:space="preserve">  Subtotal</t>
  </si>
  <si>
    <t>SPP Transmission charges</t>
  </si>
  <si>
    <t>SWPA charges</t>
  </si>
  <si>
    <t>per kW per month</t>
  </si>
  <si>
    <t>SWPA suppl.</t>
  </si>
  <si>
    <t>SWPA firm</t>
  </si>
  <si>
    <t>(SWPA) whereby the Agency coordinates and schedules  the aggregated hydroelectric</t>
  </si>
  <si>
    <t>KMEA</t>
  </si>
  <si>
    <t>SWPA HYDRO PROJECT  --   CLAY CENTER</t>
  </si>
  <si>
    <t>SWPA HYDRO PROJECT  --  AUGUSTA</t>
  </si>
  <si>
    <t>%</t>
  </si>
  <si>
    <t>Variance</t>
  </si>
  <si>
    <t>Fav/(Unfav)</t>
  </si>
  <si>
    <t>Variance Explanations:</t>
  </si>
  <si>
    <t>Thirteen cities with high transmission costs (the Class B Cities) elected to defer actual delivery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</si>
  <si>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</si>
  <si>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</si>
  <si>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</si>
  <si>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</si>
  <si>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</si>
  <si>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</si>
  <si>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</si>
  <si>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</si>
  <si>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</si>
  <si>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</si>
  <si>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</si>
  <si>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</si>
  <si>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Demand kW</t>
  </si>
  <si>
    <t xml:space="preserve">  Total</t>
  </si>
  <si>
    <t>Demand Rate/kW</t>
  </si>
  <si>
    <t>Pool Rate/kW</t>
  </si>
  <si>
    <t>Pool B kW - Capacity</t>
  </si>
  <si>
    <t>kWh</t>
  </si>
  <si>
    <t>SWPA</t>
  </si>
  <si>
    <t>Monthly Average</t>
  </si>
  <si>
    <t>Peaking</t>
  </si>
  <si>
    <t>Supplemental</t>
  </si>
  <si>
    <t>Peaking Power</t>
  </si>
  <si>
    <t>Price/mWh</t>
  </si>
  <si>
    <t>Supplemental Power</t>
  </si>
  <si>
    <t>Month</t>
  </si>
  <si>
    <t>Operating Reserves Service: Spinning Reserves</t>
  </si>
  <si>
    <t xml:space="preserve">Agency expense </t>
  </si>
  <si>
    <t>times</t>
  </si>
  <si>
    <t>Agency expense</t>
  </si>
  <si>
    <t>Demand Charges $</t>
  </si>
  <si>
    <t>Pool B Charges - Capacity $</t>
  </si>
  <si>
    <t>Peaking Power $</t>
  </si>
  <si>
    <t>Supplemental Power $</t>
  </si>
  <si>
    <t>Total Budget</t>
  </si>
  <si>
    <t xml:space="preserve">SPRA </t>
  </si>
  <si>
    <t>power entitlements of twenty-two cities in Kansas.</t>
  </si>
  <si>
    <t>All twenty- two cities could not economically use their entitlements because of the high trans-</t>
  </si>
  <si>
    <t>mission costs for cities furthest from the SWPA delivery points along the eastern  Kansas</t>
  </si>
  <si>
    <t>SWPA HYDRO PROJECT  --  BALDWIN CITY</t>
  </si>
  <si>
    <t>Neodesha - 2011</t>
  </si>
  <si>
    <t>Spinning Reserves (@ .0112)</t>
  </si>
  <si>
    <t>Demand Charge</t>
  </si>
  <si>
    <t xml:space="preserve">  Total Capacity</t>
  </si>
  <si>
    <t xml:space="preserve">  Total Energy</t>
  </si>
  <si>
    <t>Pool Capacity mark-up</t>
  </si>
  <si>
    <t>Pool Mark-up Supplemental</t>
  </si>
  <si>
    <t>Pool Mark-up Firm Energy</t>
  </si>
  <si>
    <t>Pool Energy mark-up</t>
  </si>
  <si>
    <t>Augusta - 2012</t>
  </si>
  <si>
    <t>Baldwin City - 2012</t>
  </si>
  <si>
    <t>Chanute - 2012</t>
  </si>
  <si>
    <t>Garnett - 2012</t>
  </si>
  <si>
    <t>Iola - 2012</t>
  </si>
  <si>
    <t>Mulvane - 2012</t>
  </si>
  <si>
    <t>Neodesha - 2012</t>
  </si>
  <si>
    <t>Osawatomie - 2012</t>
  </si>
  <si>
    <t>Ottawa - 2012</t>
  </si>
  <si>
    <t>Wellington - 2012</t>
  </si>
  <si>
    <t>SWPA HYDRO PROJECT  --   OBERLIN</t>
  </si>
  <si>
    <t>Oberlin - 2012</t>
  </si>
  <si>
    <t>2015 Annual Budget</t>
  </si>
  <si>
    <t>Augusta - 2013</t>
  </si>
  <si>
    <t>Baldwin City - 2013</t>
  </si>
  <si>
    <t>Chanute - 2013</t>
  </si>
  <si>
    <t>Garnett - 2013</t>
  </si>
  <si>
    <t>Iola - 2013</t>
  </si>
  <si>
    <t>Mulvane - 2013</t>
  </si>
  <si>
    <t>Oberlin - 2013</t>
  </si>
  <si>
    <t>Osawatomie - 2013</t>
  </si>
  <si>
    <t>Ottawa - 2013</t>
  </si>
  <si>
    <t>Wellington - 2013</t>
  </si>
  <si>
    <t>Neodesha - 2013</t>
  </si>
  <si>
    <t>Holton -</t>
  </si>
  <si>
    <t>Holton - 2013 (Estimate)</t>
  </si>
  <si>
    <t>Horton -</t>
  </si>
  <si>
    <t>Horton - 2013 (Estimate)</t>
  </si>
  <si>
    <t>Sharon Springs -</t>
  </si>
  <si>
    <t>Sharon Springs - 2013 (Estimate)</t>
  </si>
  <si>
    <t>St. Francis -</t>
  </si>
  <si>
    <t>St. Francis - 2013 (Estimate)</t>
  </si>
  <si>
    <t>Wamego -</t>
  </si>
  <si>
    <t>Wamego - 2013 (Estimate)</t>
  </si>
  <si>
    <t>SWPA HYDRO PROJECT  --   HOLTON</t>
  </si>
  <si>
    <t>SWPA HYDRO PROJECT  --   HORTON</t>
  </si>
  <si>
    <t>SWPA HYDRO PROJECT  --   SHARON SPRINGS</t>
  </si>
  <si>
    <t>SWPA HYDRO PROJECT  --   ST. FRANCIS</t>
  </si>
  <si>
    <t>SWPA HYDRO PROJECT  --   WAMEGO</t>
  </si>
  <si>
    <t>Energy charges are unfavorable due to the addition of Holton, Horton, Sharon</t>
  </si>
  <si>
    <t>Springs, St. Francis and Wamego (B Cities).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</si>
</sst>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%"/>
    <numFmt numFmtId="169" formatCode="0.000%"/>
    <numFmt numFmtId="170" formatCode="General_)"/>
    <numFmt numFmtId="171" formatCode="#,##0.00000_);\(#,##0.00000\)"/>
    <numFmt numFmtId="172" formatCode="0.0"/>
    <numFmt numFmtId="173" formatCode="&quot;$&quot;#,##0.000_);\(&quot;$&quot;#,##0.000\)"/>
    <numFmt numFmtId="174" formatCode="&quot;$&quot;#,##0"/>
    <numFmt numFmtId="175" formatCode="_(* #,##0.000_);_(* \(#,##0.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37" fontId="0" fillId="0" borderId="0" xfId="0" applyNumberFormat="1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quotePrefix="1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0" xfId="0" quotePrefix="1" applyNumberFormat="1" applyFont="1" applyAlignment="1">
      <alignment horizontal="left"/>
    </xf>
    <xf numFmtId="0" fontId="2" fillId="0" borderId="0" xfId="0" applyFont="1"/>
    <xf numFmtId="44" fontId="2" fillId="0" borderId="0" xfId="2" applyFont="1"/>
    <xf numFmtId="165" fontId="2" fillId="0" borderId="0" xfId="2" applyNumberFormat="1" applyFont="1"/>
    <xf numFmtId="166" fontId="2" fillId="0" borderId="0" xfId="1" applyNumberFormat="1" applyFont="1"/>
    <xf numFmtId="167" fontId="2" fillId="0" borderId="0" xfId="1" applyNumberFormat="1" applyFont="1"/>
    <xf numFmtId="168" fontId="2" fillId="0" borderId="0" xfId="3" applyNumberFormat="1" applyFont="1"/>
    <xf numFmtId="10" fontId="2" fillId="0" borderId="0" xfId="3" applyNumberFormat="1" applyFont="1"/>
    <xf numFmtId="165" fontId="2" fillId="0" borderId="2" xfId="2" applyNumberFormat="1" applyFont="1" applyBorder="1"/>
    <xf numFmtId="37" fontId="2" fillId="0" borderId="1" xfId="0" applyNumberFormat="1" applyFont="1" applyBorder="1"/>
    <xf numFmtId="170" fontId="2" fillId="0" borderId="0" xfId="0" applyNumberFormat="1" applyFont="1"/>
    <xf numFmtId="170" fontId="2" fillId="0" borderId="0" xfId="0" applyNumberFormat="1" applyFont="1" applyAlignment="1">
      <alignment horizontal="center"/>
    </xf>
    <xf numFmtId="170" fontId="2" fillId="0" borderId="0" xfId="0" quotePrefix="1" applyNumberFormat="1" applyFont="1" applyAlignment="1">
      <alignment horizontal="center"/>
    </xf>
    <xf numFmtId="0" fontId="0" fillId="0" borderId="1" xfId="0" applyBorder="1"/>
    <xf numFmtId="7" fontId="2" fillId="0" borderId="0" xfId="2" applyNumberFormat="1" applyFont="1"/>
    <xf numFmtId="169" fontId="2" fillId="0" borderId="0" xfId="3" applyNumberFormat="1" applyFont="1"/>
    <xf numFmtId="37" fontId="2" fillId="0" borderId="0" xfId="0" applyNumberFormat="1" applyFont="1" applyAlignment="1">
      <alignment horizontal="left"/>
    </xf>
    <xf numFmtId="0" fontId="0" fillId="0" borderId="0" xfId="0" quotePrefix="1" applyAlignment="1">
      <alignment horizontal="left"/>
    </xf>
    <xf numFmtId="37" fontId="2" fillId="0" borderId="0" xfId="0" applyNumberFormat="1" applyFont="1" applyBorder="1"/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0" quotePrefix="1" applyNumberFormat="1" applyFont="1" applyAlignment="1">
      <alignment horizontal="left"/>
    </xf>
    <xf numFmtId="0" fontId="2" fillId="0" borderId="1" xfId="0" applyFont="1" applyBorder="1"/>
    <xf numFmtId="0" fontId="3" fillId="0" borderId="0" xfId="0" applyFont="1" applyAlignment="1">
      <alignment horizontal="center"/>
    </xf>
    <xf numFmtId="173" fontId="2" fillId="0" borderId="0" xfId="2" applyNumberFormat="1" applyFont="1"/>
    <xf numFmtId="0" fontId="3" fillId="0" borderId="0" xfId="0" applyFont="1" applyAlignment="1">
      <alignment horizontal="right"/>
    </xf>
    <xf numFmtId="170" fontId="3" fillId="0" borderId="0" xfId="0" applyNumberFormat="1" applyFont="1" applyAlignment="1">
      <alignment horizontal="right"/>
    </xf>
    <xf numFmtId="3" fontId="2" fillId="0" borderId="0" xfId="0" applyNumberFormat="1" applyFont="1"/>
    <xf numFmtId="171" fontId="2" fillId="0" borderId="0" xfId="0" applyNumberFormat="1" applyFont="1"/>
    <xf numFmtId="166" fontId="2" fillId="0" borderId="0" xfId="1" quotePrefix="1" applyNumberFormat="1" applyFont="1" applyAlignment="1">
      <alignment horizontal="left"/>
    </xf>
    <xf numFmtId="37" fontId="4" fillId="0" borderId="0" xfId="0" applyNumberFormat="1" applyFont="1" applyProtection="1">
      <protection hidden="1"/>
    </xf>
    <xf numFmtId="37" fontId="2" fillId="0" borderId="0" xfId="0" quotePrefix="1" applyNumberFormat="1" applyFont="1"/>
    <xf numFmtId="164" fontId="0" fillId="0" borderId="0" xfId="2" applyNumberFormat="1" applyFont="1"/>
    <xf numFmtId="164" fontId="2" fillId="0" borderId="0" xfId="2" applyNumberFormat="1" applyFont="1"/>
    <xf numFmtId="43" fontId="0" fillId="0" borderId="0" xfId="1" applyFont="1"/>
    <xf numFmtId="165" fontId="2" fillId="0" borderId="0" xfId="2" applyNumberFormat="1" applyFont="1" applyBorder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7" fontId="2" fillId="0" borderId="1" xfId="0" applyNumberFormat="1" applyFont="1" applyFill="1" applyBorder="1" applyAlignment="1">
      <alignment horizontal="center"/>
    </xf>
    <xf numFmtId="165" fontId="2" fillId="0" borderId="0" xfId="2" applyNumberFormat="1" applyFont="1" applyFill="1"/>
    <xf numFmtId="165" fontId="2" fillId="0" borderId="2" xfId="2" applyNumberFormat="1" applyFont="1" applyFill="1" applyBorder="1"/>
    <xf numFmtId="3" fontId="2" fillId="0" borderId="0" xfId="0" applyNumberFormat="1" applyFont="1" applyFill="1"/>
    <xf numFmtId="167" fontId="2" fillId="0" borderId="0" xfId="1" applyNumberFormat="1" applyFont="1" applyFill="1"/>
    <xf numFmtId="0" fontId="2" fillId="0" borderId="0" xfId="0" applyFont="1" applyFill="1"/>
    <xf numFmtId="166" fontId="2" fillId="0" borderId="0" xfId="1" applyNumberFormat="1" applyFont="1" applyFill="1"/>
    <xf numFmtId="37" fontId="2" fillId="0" borderId="0" xfId="0" quotePrefix="1" applyNumberFormat="1" applyFont="1" applyFill="1" applyAlignment="1">
      <alignment horizontal="left"/>
    </xf>
    <xf numFmtId="3" fontId="2" fillId="0" borderId="2" xfId="0" applyNumberFormat="1" applyFont="1" applyFill="1" applyBorder="1"/>
    <xf numFmtId="166" fontId="2" fillId="0" borderId="1" xfId="1" applyNumberFormat="1" applyFont="1" applyBorder="1"/>
    <xf numFmtId="37" fontId="3" fillId="0" borderId="3" xfId="0" quotePrefix="1" applyNumberFormat="1" applyFont="1" applyBorder="1" applyAlignment="1">
      <alignment horizontal="left"/>
    </xf>
    <xf numFmtId="37" fontId="2" fillId="0" borderId="4" xfId="0" applyNumberFormat="1" applyFont="1" applyBorder="1"/>
    <xf numFmtId="0" fontId="0" fillId="0" borderId="4" xfId="0" applyBorder="1"/>
    <xf numFmtId="37" fontId="2" fillId="0" borderId="6" xfId="0" applyNumberFormat="1" applyFont="1" applyBorder="1"/>
    <xf numFmtId="37" fontId="2" fillId="0" borderId="7" xfId="0" applyNumberFormat="1" applyFont="1" applyBorder="1"/>
    <xf numFmtId="37" fontId="2" fillId="0" borderId="0" xfId="0" applyNumberFormat="1" applyFont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37" fontId="2" fillId="0" borderId="8" xfId="0" applyNumberFormat="1" applyFont="1" applyBorder="1"/>
    <xf numFmtId="166" fontId="2" fillId="0" borderId="5" xfId="1" applyNumberFormat="1" applyFont="1" applyBorder="1"/>
    <xf numFmtId="37" fontId="2" fillId="0" borderId="9" xfId="0" applyNumberFormat="1" applyFont="1" applyBorder="1"/>
    <xf numFmtId="37" fontId="1" fillId="0" borderId="0" xfId="0" applyNumberFormat="1" applyFont="1"/>
    <xf numFmtId="0" fontId="1" fillId="0" borderId="0" xfId="0" applyFont="1"/>
    <xf numFmtId="37" fontId="5" fillId="0" borderId="0" xfId="0" applyNumberFormat="1" applyFont="1"/>
    <xf numFmtId="43" fontId="6" fillId="0" borderId="0" xfId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0" fillId="0" borderId="1" xfId="0" applyNumberFormat="1" applyBorder="1"/>
    <xf numFmtId="166" fontId="0" fillId="0" borderId="0" xfId="1" applyNumberFormat="1" applyFont="1"/>
    <xf numFmtId="166" fontId="0" fillId="0" borderId="1" xfId="1" applyNumberFormat="1" applyFont="1" applyBorder="1"/>
    <xf numFmtId="44" fontId="2" fillId="0" borderId="0" xfId="2" applyNumberFormat="1" applyFont="1"/>
    <xf numFmtId="5" fontId="5" fillId="0" borderId="0" xfId="1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166" fontId="8" fillId="0" borderId="0" xfId="1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9" fontId="0" fillId="0" borderId="0" xfId="3" applyFont="1"/>
    <xf numFmtId="10" fontId="0" fillId="0" borderId="0" xfId="3" applyNumberFormat="1" applyFont="1"/>
    <xf numFmtId="10" fontId="0" fillId="0" borderId="1" xfId="3" applyNumberFormat="1" applyFont="1" applyBorder="1"/>
    <xf numFmtId="173" fontId="2" fillId="0" borderId="0" xfId="1" applyNumberFormat="1" applyFont="1"/>
    <xf numFmtId="166" fontId="2" fillId="0" borderId="0" xfId="1" quotePrefix="1" applyNumberFormat="1" applyFont="1" applyFill="1"/>
    <xf numFmtId="10" fontId="2" fillId="0" borderId="0" xfId="2" applyNumberFormat="1" applyFont="1"/>
    <xf numFmtId="5" fontId="2" fillId="0" borderId="0" xfId="0" applyNumberFormat="1" applyFont="1"/>
    <xf numFmtId="43" fontId="0" fillId="2" borderId="0" xfId="1" applyFont="1" applyFill="1"/>
    <xf numFmtId="174" fontId="0" fillId="0" borderId="0" xfId="1" applyNumberFormat="1" applyFont="1"/>
    <xf numFmtId="174" fontId="0" fillId="0" borderId="0" xfId="0" applyNumberFormat="1"/>
    <xf numFmtId="174" fontId="0" fillId="0" borderId="1" xfId="1" applyNumberFormat="1" applyFont="1" applyBorder="1"/>
    <xf numFmtId="174" fontId="0" fillId="0" borderId="1" xfId="0" applyNumberFormat="1" applyBorder="1"/>
    <xf numFmtId="166" fontId="1" fillId="2" borderId="0" xfId="1" applyNumberFormat="1" applyFont="1" applyFill="1"/>
    <xf numFmtId="3" fontId="1" fillId="2" borderId="0" xfId="0" applyNumberFormat="1" applyFont="1" applyFill="1"/>
    <xf numFmtId="3" fontId="1" fillId="2" borderId="1" xfId="0" applyNumberFormat="1" applyFont="1" applyFill="1" applyBorder="1"/>
    <xf numFmtId="5" fontId="0" fillId="0" borderId="0" xfId="1" applyNumberFormat="1" applyFont="1"/>
    <xf numFmtId="5" fontId="0" fillId="0" borderId="1" xfId="1" applyNumberFormat="1" applyFont="1" applyBorder="1"/>
    <xf numFmtId="5" fontId="0" fillId="2" borderId="0" xfId="1" applyNumberFormat="1" applyFont="1" applyFill="1"/>
    <xf numFmtId="37" fontId="1" fillId="2" borderId="0" xfId="0" applyNumberFormat="1" applyFont="1" applyFill="1"/>
    <xf numFmtId="37" fontId="1" fillId="2" borderId="1" xfId="0" applyNumberFormat="1" applyFont="1" applyFill="1" applyBorder="1"/>
    <xf numFmtId="170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5" fontId="0" fillId="0" borderId="1" xfId="1" quotePrefix="1" applyNumberFormat="1" applyFont="1" applyBorder="1" applyAlignment="1">
      <alignment horizontal="right"/>
    </xf>
    <xf numFmtId="5" fontId="0" fillId="0" borderId="0" xfId="0" quotePrefix="1" applyNumberFormat="1" applyAlignment="1">
      <alignment horizontal="right"/>
    </xf>
    <xf numFmtId="166" fontId="0" fillId="0" borderId="0" xfId="1" applyNumberFormat="1" applyFont="1" applyBorder="1"/>
    <xf numFmtId="37" fontId="0" fillId="0" borderId="0" xfId="0" applyNumberFormat="1" applyFont="1"/>
    <xf numFmtId="166" fontId="1" fillId="2" borderId="1" xfId="1" applyNumberFormat="1" applyFont="1" applyFill="1" applyBorder="1"/>
    <xf numFmtId="5" fontId="1" fillId="0" borderId="0" xfId="1" applyNumberFormat="1" applyFont="1"/>
    <xf numFmtId="5" fontId="1" fillId="0" borderId="1" xfId="1" applyNumberFormat="1" applyFont="1" applyBorder="1"/>
    <xf numFmtId="175" fontId="5" fillId="2" borderId="0" xfId="1" applyNumberFormat="1" applyFont="1" applyFill="1"/>
    <xf numFmtId="37" fontId="2" fillId="0" borderId="9" xfId="0" applyNumberFormat="1" applyFont="1" applyFill="1" applyBorder="1"/>
    <xf numFmtId="170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0" applyFont="1" applyFill="1"/>
    <xf numFmtId="0" fontId="0" fillId="0" borderId="0" xfId="0" applyFill="1"/>
    <xf numFmtId="43" fontId="2" fillId="0" borderId="0" xfId="1" applyFont="1" applyFill="1"/>
    <xf numFmtId="43" fontId="2" fillId="0" borderId="0" xfId="1" applyFont="1"/>
    <xf numFmtId="170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66" fontId="1" fillId="3" borderId="1" xfId="1" applyNumberFormat="1" applyFont="1" applyFill="1" applyBorder="1"/>
    <xf numFmtId="166" fontId="0" fillId="3" borderId="1" xfId="1" applyNumberFormat="1" applyFont="1" applyFill="1" applyBorder="1"/>
    <xf numFmtId="37" fontId="0" fillId="0" borderId="0" xfId="0" applyNumberFormat="1" applyFill="1"/>
    <xf numFmtId="170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70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Budget/2014/Bud_14%20SWPA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gency_Detail_Budget_2015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WPA%20Allo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Accounting/Projects/Project%20power%20summaries/2012/Power-2012-SP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amie/Accounting/Projects/Project%20power%20summaries/2013/Power-2013-S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SCRIP"/>
      <sheetName val="AUG"/>
      <sheetName val="BAL"/>
      <sheetName val="CHA"/>
      <sheetName val="CLAY"/>
      <sheetName val="GARN"/>
      <sheetName val="IOLA"/>
      <sheetName val="MULV"/>
      <sheetName val="NEO"/>
      <sheetName val="OBE"/>
      <sheetName val="OSAW"/>
      <sheetName val="OTT"/>
      <sheetName val="WELL"/>
      <sheetName val="CLASS B CITIES"/>
      <sheetName val="SWPA Charges by City"/>
      <sheetName val="Energy"/>
    </sheetNames>
    <sheetDataSet>
      <sheetData sheetId="0">
        <row r="11">
          <cell r="F11">
            <v>839689.9600000002</v>
          </cell>
        </row>
      </sheetData>
      <sheetData sheetId="1"/>
      <sheetData sheetId="2">
        <row r="13">
          <cell r="H13">
            <v>32400</v>
          </cell>
        </row>
        <row r="14">
          <cell r="H14">
            <v>0</v>
          </cell>
        </row>
        <row r="17">
          <cell r="H17">
            <v>80.64</v>
          </cell>
        </row>
        <row r="20">
          <cell r="H20">
            <v>80.64</v>
          </cell>
        </row>
        <row r="23">
          <cell r="H23">
            <v>12534</v>
          </cell>
        </row>
        <row r="24">
          <cell r="H24">
            <v>3022</v>
          </cell>
        </row>
        <row r="26">
          <cell r="H26">
            <v>0</v>
          </cell>
        </row>
        <row r="28">
          <cell r="H28">
            <v>0</v>
          </cell>
        </row>
        <row r="31">
          <cell r="H31">
            <v>160.43478260869571</v>
          </cell>
        </row>
        <row r="33">
          <cell r="H33">
            <v>4033.829258497195</v>
          </cell>
        </row>
      </sheetData>
      <sheetData sheetId="3">
        <row r="13">
          <cell r="H13">
            <v>5400</v>
          </cell>
        </row>
        <row r="14">
          <cell r="H14">
            <v>0</v>
          </cell>
        </row>
        <row r="17">
          <cell r="H17">
            <v>13.44</v>
          </cell>
        </row>
        <row r="20">
          <cell r="H20">
            <v>13.44</v>
          </cell>
        </row>
        <row r="23">
          <cell r="H23">
            <v>2942</v>
          </cell>
        </row>
        <row r="24">
          <cell r="H24">
            <v>637</v>
          </cell>
        </row>
        <row r="26">
          <cell r="H26">
            <v>0</v>
          </cell>
        </row>
        <row r="28">
          <cell r="H28">
            <v>0</v>
          </cell>
        </row>
        <row r="31">
          <cell r="H31">
            <v>26.739130434782613</v>
          </cell>
        </row>
        <row r="33">
          <cell r="H33">
            <v>946.82936761948042</v>
          </cell>
        </row>
      </sheetData>
      <sheetData sheetId="4">
        <row r="13">
          <cell r="H13">
            <v>81000</v>
          </cell>
        </row>
        <row r="14">
          <cell r="H14">
            <v>2160</v>
          </cell>
        </row>
        <row r="17">
          <cell r="H17">
            <v>201.6</v>
          </cell>
        </row>
        <row r="20">
          <cell r="H20">
            <v>201.6</v>
          </cell>
        </row>
        <row r="23">
          <cell r="H23">
            <v>31439</v>
          </cell>
        </row>
        <row r="24">
          <cell r="H24">
            <v>9366</v>
          </cell>
        </row>
        <row r="26">
          <cell r="H26">
            <v>836</v>
          </cell>
        </row>
        <row r="28">
          <cell r="H28">
            <v>250</v>
          </cell>
        </row>
        <row r="31">
          <cell r="H31">
            <v>401.08695652173907</v>
          </cell>
        </row>
        <row r="33">
          <cell r="H33">
            <v>10118.188390063797</v>
          </cell>
        </row>
      </sheetData>
      <sheetData sheetId="5"/>
      <sheetData sheetId="6">
        <row r="13">
          <cell r="H13">
            <v>21600</v>
          </cell>
        </row>
        <row r="14">
          <cell r="H14">
            <v>540</v>
          </cell>
        </row>
        <row r="17">
          <cell r="H17">
            <v>53.76</v>
          </cell>
        </row>
        <row r="20">
          <cell r="H20">
            <v>53.76</v>
          </cell>
        </row>
        <row r="23">
          <cell r="H23">
            <v>8967</v>
          </cell>
        </row>
        <row r="24">
          <cell r="H24">
            <v>2788</v>
          </cell>
        </row>
        <row r="26">
          <cell r="H26">
            <v>209</v>
          </cell>
        </row>
        <row r="28">
          <cell r="H28">
            <v>70</v>
          </cell>
        </row>
        <row r="31">
          <cell r="H31">
            <v>106.95652173913045</v>
          </cell>
        </row>
        <row r="33">
          <cell r="H33">
            <v>2885.8686820165349</v>
          </cell>
        </row>
      </sheetData>
      <sheetData sheetId="7">
        <row r="13">
          <cell r="H13">
            <v>81000</v>
          </cell>
        </row>
        <row r="14">
          <cell r="H14">
            <v>3240</v>
          </cell>
        </row>
        <row r="17">
          <cell r="H17">
            <v>201.6</v>
          </cell>
        </row>
        <row r="20">
          <cell r="H20">
            <v>201.6</v>
          </cell>
        </row>
        <row r="23">
          <cell r="H23">
            <v>31335</v>
          </cell>
        </row>
        <row r="24">
          <cell r="H24">
            <v>9357</v>
          </cell>
        </row>
        <row r="26">
          <cell r="H26">
            <v>1253</v>
          </cell>
        </row>
        <row r="28">
          <cell r="H28">
            <v>374</v>
          </cell>
        </row>
        <row r="31">
          <cell r="H31">
            <v>401.08695652173907</v>
          </cell>
        </row>
        <row r="33">
          <cell r="H33">
            <v>10084.573146242989</v>
          </cell>
        </row>
      </sheetData>
      <sheetData sheetId="8">
        <row r="13">
          <cell r="H13">
            <v>32400</v>
          </cell>
        </row>
        <row r="14">
          <cell r="H14">
            <v>1620</v>
          </cell>
        </row>
        <row r="17">
          <cell r="H17">
            <v>80.64</v>
          </cell>
        </row>
        <row r="20">
          <cell r="H20">
            <v>80.64</v>
          </cell>
        </row>
        <row r="23">
          <cell r="H23">
            <v>12534</v>
          </cell>
        </row>
        <row r="24">
          <cell r="H24">
            <v>3952</v>
          </cell>
        </row>
        <row r="26">
          <cell r="H26">
            <v>627</v>
          </cell>
        </row>
        <row r="28">
          <cell r="H28">
            <v>198</v>
          </cell>
        </row>
        <row r="31">
          <cell r="H31">
            <v>160.43478260869571</v>
          </cell>
        </row>
        <row r="33">
          <cell r="H33">
            <v>4033.829258497195</v>
          </cell>
        </row>
      </sheetData>
      <sheetData sheetId="9">
        <row r="13">
          <cell r="H13">
            <v>32400</v>
          </cell>
        </row>
        <row r="14">
          <cell r="H14">
            <v>1080</v>
          </cell>
        </row>
        <row r="17">
          <cell r="H17">
            <v>80.64</v>
          </cell>
        </row>
        <row r="20">
          <cell r="H20">
            <v>80.64</v>
          </cell>
        </row>
        <row r="23">
          <cell r="H23">
            <v>12534</v>
          </cell>
        </row>
        <row r="24">
          <cell r="H24">
            <v>3855</v>
          </cell>
        </row>
        <row r="26">
          <cell r="H26">
            <v>418</v>
          </cell>
        </row>
        <row r="28">
          <cell r="H28">
            <v>128</v>
          </cell>
        </row>
        <row r="31">
          <cell r="H31">
            <v>160.43478260869571</v>
          </cell>
        </row>
        <row r="33">
          <cell r="H33">
            <v>4033.829258497195</v>
          </cell>
        </row>
      </sheetData>
      <sheetData sheetId="10">
        <row r="13">
          <cell r="H13">
            <v>10800</v>
          </cell>
        </row>
        <row r="14">
          <cell r="H14">
            <v>0</v>
          </cell>
        </row>
        <row r="17">
          <cell r="H17">
            <v>26.88</v>
          </cell>
        </row>
        <row r="20">
          <cell r="H20">
            <v>26.88</v>
          </cell>
        </row>
        <row r="23">
          <cell r="H23">
            <v>3694</v>
          </cell>
        </row>
        <row r="24">
          <cell r="H24">
            <v>1394</v>
          </cell>
        </row>
        <row r="26">
          <cell r="H26">
            <v>0</v>
          </cell>
        </row>
        <row r="28">
          <cell r="H28">
            <v>0</v>
          </cell>
        </row>
        <row r="31">
          <cell r="H31">
            <v>53.478260869565226</v>
          </cell>
        </row>
        <row r="33">
          <cell r="H33">
            <v>1188.7890913713522</v>
          </cell>
        </row>
      </sheetData>
      <sheetData sheetId="11">
        <row r="13">
          <cell r="H13">
            <v>21600</v>
          </cell>
        </row>
        <row r="14">
          <cell r="H14">
            <v>540</v>
          </cell>
        </row>
        <row r="17">
          <cell r="H17">
            <v>53.76</v>
          </cell>
        </row>
        <row r="20">
          <cell r="H20">
            <v>53.76</v>
          </cell>
        </row>
        <row r="23">
          <cell r="H23">
            <v>8967</v>
          </cell>
        </row>
        <row r="24">
          <cell r="H24">
            <v>2788</v>
          </cell>
        </row>
        <row r="26">
          <cell r="H26">
            <v>209</v>
          </cell>
        </row>
        <row r="28">
          <cell r="H28">
            <v>70</v>
          </cell>
        </row>
        <row r="31">
          <cell r="H31">
            <v>106.95652173913045</v>
          </cell>
        </row>
        <row r="33">
          <cell r="H33">
            <v>2885.8686820165349</v>
          </cell>
        </row>
      </sheetData>
      <sheetData sheetId="12">
        <row r="13">
          <cell r="H13">
            <v>54000</v>
          </cell>
        </row>
        <row r="14">
          <cell r="H14">
            <v>540</v>
          </cell>
        </row>
        <row r="17">
          <cell r="H17">
            <v>134.4</v>
          </cell>
        </row>
        <row r="20">
          <cell r="H20">
            <v>134.4</v>
          </cell>
        </row>
        <row r="23">
          <cell r="H23">
            <v>19062</v>
          </cell>
        </row>
        <row r="24">
          <cell r="H24">
            <v>5577</v>
          </cell>
        </row>
        <row r="26">
          <cell r="H26">
            <v>209</v>
          </cell>
        </row>
        <row r="28">
          <cell r="H28">
            <v>56</v>
          </cell>
        </row>
        <row r="31">
          <cell r="H31">
            <v>267.39130434782612</v>
          </cell>
        </row>
        <row r="33">
          <cell r="H33">
            <v>6134.7819972978177</v>
          </cell>
        </row>
      </sheetData>
      <sheetData sheetId="13">
        <row r="13">
          <cell r="H13">
            <v>124200</v>
          </cell>
        </row>
        <row r="14">
          <cell r="H14">
            <v>6480</v>
          </cell>
        </row>
        <row r="17">
          <cell r="H17">
            <v>309.12</v>
          </cell>
        </row>
        <row r="20">
          <cell r="H20">
            <v>309.12</v>
          </cell>
        </row>
        <row r="23">
          <cell r="H23">
            <v>49422</v>
          </cell>
        </row>
        <row r="24">
          <cell r="H24">
            <v>15135</v>
          </cell>
        </row>
        <row r="26">
          <cell r="H26">
            <v>2507</v>
          </cell>
        </row>
        <row r="28">
          <cell r="H28">
            <v>790</v>
          </cell>
        </row>
        <row r="31">
          <cell r="H31">
            <v>615</v>
          </cell>
        </row>
        <row r="33">
          <cell r="H33">
            <v>15905.61286787991</v>
          </cell>
        </row>
      </sheetData>
      <sheetData sheetId="14">
        <row r="14">
          <cell r="E14">
            <v>300</v>
          </cell>
        </row>
        <row r="17">
          <cell r="E17">
            <v>200</v>
          </cell>
        </row>
        <row r="19">
          <cell r="E19">
            <v>300</v>
          </cell>
        </row>
      </sheetData>
      <sheetData sheetId="15">
        <row r="79">
          <cell r="N79">
            <v>11111387.5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ing"/>
      <sheetName val="Factor"/>
      <sheetName val="Alloc"/>
      <sheetName val="Agency Bridge"/>
      <sheetName val="Agency Summary"/>
      <sheetName val="Agency Summary PY Comp"/>
      <sheetName val="Agency Income &amp; Expenses-2015"/>
      <sheetName val="Salaries"/>
      <sheetName val="Agency Capital-2015"/>
      <sheetName val="Time Spent"/>
    </sheetNames>
    <sheetDataSet>
      <sheetData sheetId="0"/>
      <sheetData sheetId="1"/>
      <sheetData sheetId="2">
        <row r="25">
          <cell r="N25">
            <v>62822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E12">
            <v>60</v>
          </cell>
          <cell r="F12">
            <v>130</v>
          </cell>
          <cell r="G12">
            <v>30</v>
          </cell>
          <cell r="H12">
            <v>20</v>
          </cell>
          <cell r="I12">
            <v>130</v>
          </cell>
          <cell r="J12">
            <v>50</v>
          </cell>
          <cell r="K12">
            <v>50</v>
          </cell>
          <cell r="L12">
            <v>190</v>
          </cell>
          <cell r="M12">
            <v>30</v>
          </cell>
          <cell r="N12">
            <v>20</v>
          </cell>
          <cell r="O12">
            <v>40</v>
          </cell>
          <cell r="P12">
            <v>40</v>
          </cell>
          <cell r="Q12">
            <v>100</v>
          </cell>
          <cell r="R12">
            <v>20</v>
          </cell>
          <cell r="S12">
            <v>10</v>
          </cell>
          <cell r="T12">
            <v>10</v>
          </cell>
        </row>
        <row r="13">
          <cell r="E13">
            <v>120</v>
          </cell>
          <cell r="F13">
            <v>260</v>
          </cell>
          <cell r="G13">
            <v>60</v>
          </cell>
          <cell r="H13">
            <v>40</v>
          </cell>
          <cell r="I13">
            <v>260</v>
          </cell>
          <cell r="J13">
            <v>100</v>
          </cell>
          <cell r="K13">
            <v>100</v>
          </cell>
          <cell r="L13">
            <v>380</v>
          </cell>
          <cell r="M13">
            <v>60</v>
          </cell>
          <cell r="N13">
            <v>40</v>
          </cell>
          <cell r="O13">
            <v>80</v>
          </cell>
          <cell r="P13">
            <v>80</v>
          </cell>
          <cell r="Q13">
            <v>200</v>
          </cell>
          <cell r="R13">
            <v>40</v>
          </cell>
          <cell r="S13">
            <v>20</v>
          </cell>
          <cell r="T13">
            <v>20</v>
          </cell>
        </row>
        <row r="14">
          <cell r="E14">
            <v>120</v>
          </cell>
          <cell r="F14">
            <v>260</v>
          </cell>
          <cell r="G14">
            <v>60</v>
          </cell>
          <cell r="H14">
            <v>40</v>
          </cell>
          <cell r="I14">
            <v>260</v>
          </cell>
          <cell r="J14">
            <v>100</v>
          </cell>
          <cell r="K14">
            <v>100</v>
          </cell>
          <cell r="L14">
            <v>380</v>
          </cell>
          <cell r="M14">
            <v>60</v>
          </cell>
          <cell r="N14">
            <v>40</v>
          </cell>
          <cell r="O14">
            <v>80</v>
          </cell>
          <cell r="P14">
            <v>80</v>
          </cell>
          <cell r="Q14">
            <v>200</v>
          </cell>
          <cell r="R14">
            <v>40</v>
          </cell>
          <cell r="S14">
            <v>20</v>
          </cell>
          <cell r="T14">
            <v>20</v>
          </cell>
        </row>
        <row r="15">
          <cell r="E15">
            <v>60</v>
          </cell>
          <cell r="F15">
            <v>130</v>
          </cell>
          <cell r="G15">
            <v>30</v>
          </cell>
          <cell r="H15">
            <v>20</v>
          </cell>
          <cell r="I15">
            <v>130</v>
          </cell>
          <cell r="J15">
            <v>50</v>
          </cell>
          <cell r="K15">
            <v>50</v>
          </cell>
          <cell r="L15">
            <v>190</v>
          </cell>
          <cell r="M15">
            <v>30</v>
          </cell>
          <cell r="N15">
            <v>20</v>
          </cell>
          <cell r="O15">
            <v>40</v>
          </cell>
          <cell r="P15">
            <v>40</v>
          </cell>
          <cell r="Q15">
            <v>100</v>
          </cell>
          <cell r="R15">
            <v>20</v>
          </cell>
          <cell r="S15">
            <v>10</v>
          </cell>
          <cell r="T15">
            <v>10</v>
          </cell>
        </row>
        <row r="16">
          <cell r="E16">
            <v>42</v>
          </cell>
          <cell r="F16">
            <v>91</v>
          </cell>
          <cell r="G16">
            <v>21</v>
          </cell>
          <cell r="H16">
            <v>14</v>
          </cell>
          <cell r="I16">
            <v>91</v>
          </cell>
          <cell r="J16">
            <v>35</v>
          </cell>
          <cell r="K16">
            <v>35</v>
          </cell>
          <cell r="L16">
            <v>133</v>
          </cell>
          <cell r="M16">
            <v>21</v>
          </cell>
          <cell r="N16">
            <v>14</v>
          </cell>
          <cell r="O16">
            <v>28</v>
          </cell>
          <cell r="P16">
            <v>28</v>
          </cell>
          <cell r="Q16">
            <v>70</v>
          </cell>
          <cell r="R16">
            <v>14</v>
          </cell>
          <cell r="S16">
            <v>7</v>
          </cell>
          <cell r="T16">
            <v>7</v>
          </cell>
        </row>
        <row r="17">
          <cell r="E17">
            <v>42</v>
          </cell>
          <cell r="F17">
            <v>91</v>
          </cell>
          <cell r="G17">
            <v>21</v>
          </cell>
          <cell r="H17">
            <v>14</v>
          </cell>
          <cell r="I17">
            <v>91</v>
          </cell>
          <cell r="J17">
            <v>35</v>
          </cell>
          <cell r="K17">
            <v>35</v>
          </cell>
          <cell r="L17">
            <v>133</v>
          </cell>
          <cell r="M17">
            <v>21</v>
          </cell>
          <cell r="N17">
            <v>14</v>
          </cell>
          <cell r="O17">
            <v>28</v>
          </cell>
          <cell r="P17">
            <v>28</v>
          </cell>
          <cell r="Q17">
            <v>70</v>
          </cell>
          <cell r="R17">
            <v>14</v>
          </cell>
          <cell r="S17">
            <v>7</v>
          </cell>
          <cell r="T17">
            <v>7</v>
          </cell>
        </row>
        <row r="18">
          <cell r="E18">
            <v>48</v>
          </cell>
          <cell r="F18">
            <v>104</v>
          </cell>
          <cell r="G18">
            <v>24</v>
          </cell>
          <cell r="H18">
            <v>16</v>
          </cell>
          <cell r="I18">
            <v>104</v>
          </cell>
          <cell r="J18">
            <v>40</v>
          </cell>
          <cell r="K18">
            <v>40</v>
          </cell>
          <cell r="L18">
            <v>152</v>
          </cell>
          <cell r="M18">
            <v>24</v>
          </cell>
          <cell r="N18">
            <v>16</v>
          </cell>
          <cell r="O18">
            <v>32</v>
          </cell>
          <cell r="P18">
            <v>32</v>
          </cell>
          <cell r="Q18">
            <v>80</v>
          </cell>
          <cell r="R18">
            <v>16</v>
          </cell>
          <cell r="S18">
            <v>8</v>
          </cell>
          <cell r="T18">
            <v>8</v>
          </cell>
        </row>
        <row r="19">
          <cell r="E19">
            <v>48</v>
          </cell>
          <cell r="F19">
            <v>104</v>
          </cell>
          <cell r="G19">
            <v>24</v>
          </cell>
          <cell r="H19">
            <v>16</v>
          </cell>
          <cell r="I19">
            <v>104</v>
          </cell>
          <cell r="J19">
            <v>40</v>
          </cell>
          <cell r="K19">
            <v>40</v>
          </cell>
          <cell r="L19">
            <v>152</v>
          </cell>
          <cell r="M19">
            <v>24</v>
          </cell>
          <cell r="N19">
            <v>16</v>
          </cell>
          <cell r="O19">
            <v>32</v>
          </cell>
          <cell r="P19">
            <v>32</v>
          </cell>
          <cell r="Q19">
            <v>80</v>
          </cell>
          <cell r="R19">
            <v>16</v>
          </cell>
          <cell r="S19">
            <v>8</v>
          </cell>
          <cell r="T19">
            <v>8</v>
          </cell>
        </row>
        <row r="20">
          <cell r="E20">
            <v>48</v>
          </cell>
          <cell r="F20">
            <v>104</v>
          </cell>
          <cell r="G20">
            <v>24</v>
          </cell>
          <cell r="H20">
            <v>16</v>
          </cell>
          <cell r="I20">
            <v>104</v>
          </cell>
          <cell r="J20">
            <v>40</v>
          </cell>
          <cell r="K20">
            <v>40</v>
          </cell>
          <cell r="L20">
            <v>152</v>
          </cell>
          <cell r="M20">
            <v>24</v>
          </cell>
          <cell r="N20">
            <v>16</v>
          </cell>
          <cell r="O20">
            <v>32</v>
          </cell>
          <cell r="P20">
            <v>32</v>
          </cell>
          <cell r="Q20">
            <v>80</v>
          </cell>
          <cell r="R20">
            <v>16</v>
          </cell>
          <cell r="S20">
            <v>8</v>
          </cell>
          <cell r="T20">
            <v>8</v>
          </cell>
        </row>
        <row r="21">
          <cell r="E21">
            <v>48</v>
          </cell>
          <cell r="F21">
            <v>104</v>
          </cell>
          <cell r="G21">
            <v>24</v>
          </cell>
          <cell r="H21">
            <v>16</v>
          </cell>
          <cell r="I21">
            <v>104</v>
          </cell>
          <cell r="J21">
            <v>40</v>
          </cell>
          <cell r="K21">
            <v>40</v>
          </cell>
          <cell r="L21">
            <v>152</v>
          </cell>
          <cell r="M21">
            <v>24</v>
          </cell>
          <cell r="N21">
            <v>16</v>
          </cell>
          <cell r="O21">
            <v>32</v>
          </cell>
          <cell r="P21">
            <v>32</v>
          </cell>
          <cell r="Q21">
            <v>80</v>
          </cell>
          <cell r="R21">
            <v>16</v>
          </cell>
          <cell r="S21">
            <v>8</v>
          </cell>
          <cell r="T21">
            <v>8</v>
          </cell>
        </row>
        <row r="22">
          <cell r="E22">
            <v>42</v>
          </cell>
          <cell r="F22">
            <v>91</v>
          </cell>
          <cell r="G22">
            <v>21</v>
          </cell>
          <cell r="H22">
            <v>14</v>
          </cell>
          <cell r="I22">
            <v>91</v>
          </cell>
          <cell r="J22">
            <v>35</v>
          </cell>
          <cell r="K22">
            <v>35</v>
          </cell>
          <cell r="L22">
            <v>133</v>
          </cell>
          <cell r="M22">
            <v>21</v>
          </cell>
          <cell r="N22">
            <v>14</v>
          </cell>
          <cell r="O22">
            <v>28</v>
          </cell>
          <cell r="P22">
            <v>28</v>
          </cell>
          <cell r="Q22">
            <v>70</v>
          </cell>
          <cell r="R22">
            <v>14</v>
          </cell>
          <cell r="S22">
            <v>7</v>
          </cell>
          <cell r="T22">
            <v>7</v>
          </cell>
        </row>
        <row r="23">
          <cell r="E23">
            <v>42</v>
          </cell>
          <cell r="F23">
            <v>91</v>
          </cell>
          <cell r="G23">
            <v>21</v>
          </cell>
          <cell r="H23">
            <v>14</v>
          </cell>
          <cell r="I23">
            <v>91</v>
          </cell>
          <cell r="J23">
            <v>35</v>
          </cell>
          <cell r="K23">
            <v>35</v>
          </cell>
          <cell r="L23">
            <v>133</v>
          </cell>
          <cell r="M23">
            <v>21</v>
          </cell>
          <cell r="N23">
            <v>14</v>
          </cell>
          <cell r="O23">
            <v>28</v>
          </cell>
          <cell r="P23">
            <v>28</v>
          </cell>
          <cell r="Q23">
            <v>70</v>
          </cell>
          <cell r="R23">
            <v>14</v>
          </cell>
          <cell r="S23">
            <v>7</v>
          </cell>
          <cell r="T23">
            <v>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ities - SPA"/>
      <sheetName val="SPA-BALDWIN"/>
      <sheetName val="SPA-CHANUTE"/>
      <sheetName val="SPA-MULVANE"/>
      <sheetName val="SPA-AUGUSTA"/>
      <sheetName val="SPA-IOLA"/>
      <sheetName val="SPA-NEODESHA"/>
      <sheetName val="SPA-WELLINGTON"/>
      <sheetName val="SPA-GARNETT"/>
      <sheetName val="SPA-OSAWATOMIE"/>
      <sheetName val="SPA-OTTAWA"/>
      <sheetName val="Sheet1"/>
    </sheetNames>
    <sheetDataSet>
      <sheetData sheetId="0" refreshError="1"/>
      <sheetData sheetId="1">
        <row r="8">
          <cell r="X8">
            <v>0</v>
          </cell>
        </row>
        <row r="13">
          <cell r="R13">
            <v>16800</v>
          </cell>
          <cell r="X13">
            <v>0</v>
          </cell>
        </row>
        <row r="14">
          <cell r="R14">
            <v>21000</v>
          </cell>
          <cell r="X14">
            <v>0</v>
          </cell>
        </row>
        <row r="15">
          <cell r="R15">
            <v>14700</v>
          </cell>
          <cell r="X15">
            <v>0</v>
          </cell>
        </row>
        <row r="16">
          <cell r="R16">
            <v>12900</v>
          </cell>
          <cell r="X16">
            <v>0</v>
          </cell>
        </row>
        <row r="17">
          <cell r="R17">
            <v>13600</v>
          </cell>
          <cell r="X17">
            <v>0</v>
          </cell>
        </row>
        <row r="18">
          <cell r="R18">
            <v>12600</v>
          </cell>
          <cell r="X18">
            <v>0</v>
          </cell>
        </row>
        <row r="19">
          <cell r="R19">
            <v>38000</v>
          </cell>
          <cell r="X19">
            <v>0</v>
          </cell>
        </row>
      </sheetData>
      <sheetData sheetId="2">
        <row r="8">
          <cell r="R8">
            <v>120000</v>
          </cell>
          <cell r="X8">
            <v>31000</v>
          </cell>
        </row>
        <row r="9">
          <cell r="R9">
            <v>120000</v>
          </cell>
          <cell r="X9">
            <v>186000</v>
          </cell>
        </row>
        <row r="10">
          <cell r="R10">
            <v>120000</v>
          </cell>
          <cell r="X10">
            <v>230000</v>
          </cell>
        </row>
        <row r="11">
          <cell r="R11">
            <v>105000</v>
          </cell>
          <cell r="X11">
            <v>360000</v>
          </cell>
        </row>
        <row r="12">
          <cell r="R12">
            <v>106000</v>
          </cell>
          <cell r="X12">
            <v>0</v>
          </cell>
        </row>
        <row r="13">
          <cell r="R13">
            <v>149000</v>
          </cell>
          <cell r="X13">
            <v>0</v>
          </cell>
        </row>
        <row r="14">
          <cell r="R14">
            <v>299000</v>
          </cell>
          <cell r="X14">
            <v>0</v>
          </cell>
        </row>
        <row r="15">
          <cell r="R15">
            <v>296000</v>
          </cell>
          <cell r="X15">
            <v>0</v>
          </cell>
        </row>
        <row r="16">
          <cell r="R16">
            <v>149000</v>
          </cell>
          <cell r="X16">
            <v>0</v>
          </cell>
        </row>
        <row r="17">
          <cell r="R17">
            <v>105000</v>
          </cell>
          <cell r="X17">
            <v>0</v>
          </cell>
        </row>
        <row r="18">
          <cell r="R18">
            <v>112000</v>
          </cell>
          <cell r="X18">
            <v>0</v>
          </cell>
        </row>
        <row r="19">
          <cell r="R19">
            <v>120000</v>
          </cell>
          <cell r="X19">
            <v>0</v>
          </cell>
        </row>
      </sheetData>
      <sheetData sheetId="3">
        <row r="8">
          <cell r="R8">
            <v>48000</v>
          </cell>
          <cell r="X8">
            <v>12000</v>
          </cell>
        </row>
        <row r="9">
          <cell r="R9">
            <v>48000</v>
          </cell>
          <cell r="X9">
            <v>75000</v>
          </cell>
        </row>
        <row r="10">
          <cell r="R10">
            <v>48000</v>
          </cell>
          <cell r="X10">
            <v>118000</v>
          </cell>
        </row>
        <row r="11">
          <cell r="R11">
            <v>42000</v>
          </cell>
          <cell r="X11">
            <v>144000</v>
          </cell>
        </row>
        <row r="12">
          <cell r="R12">
            <v>42000</v>
          </cell>
          <cell r="X12">
            <v>0</v>
          </cell>
        </row>
        <row r="13">
          <cell r="R13">
            <v>60000</v>
          </cell>
          <cell r="X13">
            <v>0</v>
          </cell>
        </row>
        <row r="14">
          <cell r="R14">
            <v>120000</v>
          </cell>
          <cell r="X14">
            <v>0</v>
          </cell>
        </row>
        <row r="15">
          <cell r="R15">
            <v>120000</v>
          </cell>
          <cell r="X15">
            <v>0</v>
          </cell>
        </row>
        <row r="16">
          <cell r="R16">
            <v>60000</v>
          </cell>
          <cell r="X16">
            <v>0</v>
          </cell>
        </row>
        <row r="17">
          <cell r="R17">
            <v>42000</v>
          </cell>
          <cell r="X17">
            <v>0</v>
          </cell>
        </row>
        <row r="18">
          <cell r="R18">
            <v>42000</v>
          </cell>
          <cell r="X18">
            <v>0</v>
          </cell>
        </row>
        <row r="19">
          <cell r="R19">
            <v>48000</v>
          </cell>
          <cell r="X19">
            <v>0</v>
          </cell>
        </row>
      </sheetData>
      <sheetData sheetId="4">
        <row r="8">
          <cell r="R8">
            <v>48000</v>
          </cell>
          <cell r="X8">
            <v>12000</v>
          </cell>
        </row>
        <row r="9">
          <cell r="R9">
            <v>48000</v>
          </cell>
          <cell r="X9">
            <v>75000</v>
          </cell>
        </row>
        <row r="10">
          <cell r="R10">
            <v>48000</v>
          </cell>
          <cell r="X10">
            <v>90000</v>
          </cell>
        </row>
        <row r="11">
          <cell r="R11">
            <v>42000</v>
          </cell>
          <cell r="X11">
            <v>144000</v>
          </cell>
        </row>
        <row r="12">
          <cell r="R12">
            <v>42000</v>
          </cell>
          <cell r="X12">
            <v>0</v>
          </cell>
        </row>
        <row r="13">
          <cell r="R13">
            <v>59000</v>
          </cell>
          <cell r="X13">
            <v>0</v>
          </cell>
        </row>
        <row r="14">
          <cell r="R14">
            <v>120000</v>
          </cell>
          <cell r="X14">
            <v>0</v>
          </cell>
        </row>
        <row r="15">
          <cell r="R15">
            <v>118000</v>
          </cell>
          <cell r="X15">
            <v>0</v>
          </cell>
        </row>
        <row r="16">
          <cell r="R16">
            <v>60000</v>
          </cell>
          <cell r="X16">
            <v>0</v>
          </cell>
        </row>
        <row r="17">
          <cell r="R17">
            <v>42000</v>
          </cell>
          <cell r="X17">
            <v>0</v>
          </cell>
        </row>
        <row r="18">
          <cell r="R18">
            <v>45000</v>
          </cell>
          <cell r="X18">
            <v>0</v>
          </cell>
        </row>
        <row r="19">
          <cell r="R19">
            <v>48000</v>
          </cell>
          <cell r="X19">
            <v>0</v>
          </cell>
        </row>
      </sheetData>
      <sheetData sheetId="5">
        <row r="8">
          <cell r="R8">
            <v>120000</v>
          </cell>
          <cell r="X8">
            <v>31000</v>
          </cell>
        </row>
        <row r="9">
          <cell r="R9">
            <v>120000</v>
          </cell>
          <cell r="X9">
            <v>186000</v>
          </cell>
        </row>
        <row r="10">
          <cell r="R10">
            <v>120000</v>
          </cell>
          <cell r="X10">
            <v>230000</v>
          </cell>
        </row>
        <row r="11">
          <cell r="R11">
            <v>105000</v>
          </cell>
          <cell r="X11">
            <v>360000</v>
          </cell>
        </row>
        <row r="12">
          <cell r="R12">
            <v>106000</v>
          </cell>
          <cell r="X12">
            <v>0</v>
          </cell>
        </row>
        <row r="13">
          <cell r="R13">
            <v>149000</v>
          </cell>
          <cell r="X13">
            <v>0</v>
          </cell>
        </row>
        <row r="14">
          <cell r="R14">
            <v>299000</v>
          </cell>
          <cell r="X14">
            <v>0</v>
          </cell>
        </row>
        <row r="15">
          <cell r="R15">
            <v>296000</v>
          </cell>
          <cell r="X15">
            <v>0</v>
          </cell>
        </row>
        <row r="16">
          <cell r="R16">
            <v>149000</v>
          </cell>
          <cell r="X16">
            <v>0</v>
          </cell>
        </row>
        <row r="17">
          <cell r="R17">
            <v>105000</v>
          </cell>
          <cell r="X17">
            <v>0</v>
          </cell>
        </row>
        <row r="18">
          <cell r="R18">
            <v>112000</v>
          </cell>
          <cell r="X18">
            <v>0</v>
          </cell>
        </row>
        <row r="19">
          <cell r="R19">
            <v>120000</v>
          </cell>
          <cell r="X19">
            <v>0</v>
          </cell>
        </row>
      </sheetData>
      <sheetData sheetId="6">
        <row r="8">
          <cell r="R8">
            <v>48000</v>
          </cell>
          <cell r="X8">
            <v>12000</v>
          </cell>
        </row>
        <row r="9">
          <cell r="R9">
            <v>48000</v>
          </cell>
          <cell r="X9">
            <v>75000</v>
          </cell>
        </row>
        <row r="10">
          <cell r="R10">
            <v>48000</v>
          </cell>
          <cell r="X10">
            <v>90000</v>
          </cell>
        </row>
        <row r="11">
          <cell r="R11">
            <v>42000</v>
          </cell>
          <cell r="X11">
            <v>144000</v>
          </cell>
        </row>
        <row r="12">
          <cell r="R12">
            <v>42000</v>
          </cell>
          <cell r="X12">
            <v>0</v>
          </cell>
        </row>
        <row r="13">
          <cell r="R13">
            <v>59000</v>
          </cell>
          <cell r="X13">
            <v>0</v>
          </cell>
        </row>
        <row r="14">
          <cell r="R14">
            <v>120000</v>
          </cell>
          <cell r="X14">
            <v>0</v>
          </cell>
        </row>
        <row r="15">
          <cell r="R15">
            <v>118000</v>
          </cell>
          <cell r="X15">
            <v>0</v>
          </cell>
        </row>
        <row r="16">
          <cell r="R16">
            <v>60000</v>
          </cell>
          <cell r="X16">
            <v>0</v>
          </cell>
        </row>
        <row r="17">
          <cell r="R17">
            <v>42000</v>
          </cell>
          <cell r="X17">
            <v>0</v>
          </cell>
        </row>
        <row r="18">
          <cell r="R18">
            <v>45000</v>
          </cell>
          <cell r="X18">
            <v>0</v>
          </cell>
        </row>
        <row r="19">
          <cell r="R19">
            <v>48000</v>
          </cell>
          <cell r="X19">
            <v>0</v>
          </cell>
        </row>
      </sheetData>
      <sheetData sheetId="7">
        <row r="8">
          <cell r="R8">
            <v>192000</v>
          </cell>
          <cell r="X8">
            <v>52000</v>
          </cell>
        </row>
        <row r="9">
          <cell r="R9">
            <v>192000</v>
          </cell>
          <cell r="X9">
            <v>312000</v>
          </cell>
        </row>
        <row r="10">
          <cell r="R10">
            <v>192000</v>
          </cell>
          <cell r="X10">
            <v>366000</v>
          </cell>
        </row>
        <row r="11">
          <cell r="R11">
            <v>168000</v>
          </cell>
          <cell r="X11">
            <v>608000</v>
          </cell>
        </row>
        <row r="12">
          <cell r="R12">
            <v>172000</v>
          </cell>
          <cell r="X12">
            <v>0</v>
          </cell>
        </row>
        <row r="13">
          <cell r="R13">
            <v>228000</v>
          </cell>
          <cell r="X13">
            <v>0</v>
          </cell>
        </row>
        <row r="14">
          <cell r="R14">
            <v>456000</v>
          </cell>
          <cell r="X14">
            <v>0</v>
          </cell>
        </row>
        <row r="15">
          <cell r="R15">
            <v>448000</v>
          </cell>
          <cell r="X15">
            <v>0</v>
          </cell>
        </row>
        <row r="16">
          <cell r="R16">
            <v>228000</v>
          </cell>
          <cell r="X16">
            <v>0</v>
          </cell>
        </row>
        <row r="17">
          <cell r="R17">
            <v>161000</v>
          </cell>
          <cell r="X17">
            <v>0</v>
          </cell>
        </row>
        <row r="18">
          <cell r="R18">
            <v>181000</v>
          </cell>
          <cell r="X18">
            <v>0</v>
          </cell>
        </row>
        <row r="19">
          <cell r="R19">
            <v>184000</v>
          </cell>
          <cell r="X19">
            <v>0</v>
          </cell>
        </row>
      </sheetData>
      <sheetData sheetId="8">
        <row r="8">
          <cell r="R8">
            <v>35500</v>
          </cell>
          <cell r="X8">
            <v>12000</v>
          </cell>
        </row>
        <row r="9">
          <cell r="R9">
            <v>27000</v>
          </cell>
          <cell r="X9">
            <v>83250</v>
          </cell>
        </row>
        <row r="10">
          <cell r="R10">
            <v>38500</v>
          </cell>
          <cell r="X10">
            <v>55750</v>
          </cell>
        </row>
        <row r="11">
          <cell r="R11">
            <v>75500</v>
          </cell>
          <cell r="X11">
            <v>100000</v>
          </cell>
        </row>
        <row r="12">
          <cell r="R12">
            <v>64000</v>
          </cell>
          <cell r="X12">
            <v>0</v>
          </cell>
        </row>
        <row r="13">
          <cell r="R13">
            <v>33600</v>
          </cell>
          <cell r="X13">
            <v>0</v>
          </cell>
        </row>
        <row r="14">
          <cell r="R14">
            <v>42000</v>
          </cell>
          <cell r="X14">
            <v>0</v>
          </cell>
        </row>
        <row r="15">
          <cell r="R15">
            <v>29400</v>
          </cell>
          <cell r="X15">
            <v>0</v>
          </cell>
        </row>
        <row r="16">
          <cell r="R16">
            <v>25800</v>
          </cell>
          <cell r="X16">
            <v>0</v>
          </cell>
        </row>
        <row r="17">
          <cell r="R17">
            <v>27200</v>
          </cell>
          <cell r="X17">
            <v>0</v>
          </cell>
        </row>
        <row r="18">
          <cell r="R18">
            <v>25200</v>
          </cell>
          <cell r="X18">
            <v>0</v>
          </cell>
        </row>
        <row r="19">
          <cell r="R19">
            <v>76000</v>
          </cell>
          <cell r="X19">
            <v>0</v>
          </cell>
        </row>
      </sheetData>
      <sheetData sheetId="9">
        <row r="8">
          <cell r="R8">
            <v>35500</v>
          </cell>
          <cell r="X8">
            <v>12000</v>
          </cell>
        </row>
        <row r="9">
          <cell r="R9">
            <v>27000</v>
          </cell>
          <cell r="X9">
            <v>83250</v>
          </cell>
        </row>
        <row r="10">
          <cell r="R10">
            <v>38500</v>
          </cell>
          <cell r="X10">
            <v>55750</v>
          </cell>
        </row>
        <row r="11">
          <cell r="R11">
            <v>75500</v>
          </cell>
          <cell r="X11">
            <v>100000</v>
          </cell>
        </row>
        <row r="12">
          <cell r="R12">
            <v>64000</v>
          </cell>
          <cell r="X12">
            <v>0</v>
          </cell>
        </row>
        <row r="13">
          <cell r="R13">
            <v>33600</v>
          </cell>
          <cell r="X13">
            <v>0</v>
          </cell>
        </row>
        <row r="14">
          <cell r="R14">
            <v>42000</v>
          </cell>
          <cell r="X14">
            <v>0</v>
          </cell>
        </row>
        <row r="15">
          <cell r="R15">
            <v>29400</v>
          </cell>
          <cell r="X15">
            <v>0</v>
          </cell>
        </row>
        <row r="16">
          <cell r="R16">
            <v>25800</v>
          </cell>
          <cell r="X16">
            <v>0</v>
          </cell>
        </row>
        <row r="17">
          <cell r="R17">
            <v>27200</v>
          </cell>
          <cell r="X17">
            <v>0</v>
          </cell>
        </row>
        <row r="18">
          <cell r="R18">
            <v>25200</v>
          </cell>
          <cell r="X18">
            <v>0</v>
          </cell>
        </row>
        <row r="19">
          <cell r="R19">
            <v>76000</v>
          </cell>
          <cell r="X19">
            <v>0</v>
          </cell>
        </row>
      </sheetData>
      <sheetData sheetId="10">
        <row r="8">
          <cell r="R8">
            <v>71000</v>
          </cell>
          <cell r="X8">
            <v>24000</v>
          </cell>
        </row>
        <row r="9">
          <cell r="R9">
            <v>54000</v>
          </cell>
          <cell r="X9">
            <v>166500</v>
          </cell>
        </row>
        <row r="10">
          <cell r="R10">
            <v>77000</v>
          </cell>
          <cell r="X10">
            <v>111500</v>
          </cell>
        </row>
        <row r="11">
          <cell r="R11">
            <v>151000</v>
          </cell>
          <cell r="X11">
            <v>200000</v>
          </cell>
        </row>
        <row r="12">
          <cell r="R12">
            <v>128000</v>
          </cell>
          <cell r="X12">
            <v>0</v>
          </cell>
        </row>
        <row r="13">
          <cell r="R13">
            <v>84000</v>
          </cell>
          <cell r="X13">
            <v>0</v>
          </cell>
        </row>
        <row r="14">
          <cell r="R14">
            <v>105000</v>
          </cell>
          <cell r="X14">
            <v>0</v>
          </cell>
        </row>
        <row r="15">
          <cell r="R15">
            <v>73500</v>
          </cell>
          <cell r="X15">
            <v>0</v>
          </cell>
        </row>
        <row r="16">
          <cell r="R16">
            <v>64500</v>
          </cell>
          <cell r="X16">
            <v>0</v>
          </cell>
        </row>
        <row r="17">
          <cell r="R17">
            <v>68000</v>
          </cell>
          <cell r="X17">
            <v>0</v>
          </cell>
        </row>
        <row r="18">
          <cell r="R18">
            <v>63000</v>
          </cell>
          <cell r="X18">
            <v>0</v>
          </cell>
        </row>
        <row r="19">
          <cell r="R19">
            <v>190000</v>
          </cell>
          <cell r="X19">
            <v>0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Cities - SPA"/>
      <sheetName val="SPA-BALDWIN"/>
      <sheetName val="SPA-CHANUTE"/>
      <sheetName val="SPA-MULVANE"/>
      <sheetName val="SPA-AUGUSTA"/>
      <sheetName val="SPA-IOLA"/>
      <sheetName val="SPA-NEODESHA"/>
      <sheetName val="SPA-WELLINGTON"/>
      <sheetName val="SPA-GARNETT"/>
      <sheetName val="SPA-OSAWATOMIE"/>
      <sheetName val="SPA-OTTAWA"/>
    </sheetNames>
    <sheetDataSet>
      <sheetData sheetId="0"/>
      <sheetData sheetId="1">
        <row r="8">
          <cell r="R8">
            <v>38000</v>
          </cell>
          <cell r="X8">
            <v>0</v>
          </cell>
        </row>
        <row r="9">
          <cell r="R9">
            <v>15900</v>
          </cell>
          <cell r="X9">
            <v>0</v>
          </cell>
        </row>
        <row r="10">
          <cell r="R10">
            <v>14500</v>
          </cell>
          <cell r="X10">
            <v>0</v>
          </cell>
        </row>
        <row r="11">
          <cell r="R11">
            <v>15000</v>
          </cell>
          <cell r="X11">
            <v>37700</v>
          </cell>
        </row>
        <row r="12">
          <cell r="R12">
            <v>15000</v>
          </cell>
          <cell r="X12">
            <v>63500</v>
          </cell>
        </row>
        <row r="13">
          <cell r="R13">
            <v>12000</v>
          </cell>
          <cell r="X13">
            <v>55800</v>
          </cell>
        </row>
        <row r="14">
          <cell r="R14">
            <v>21400</v>
          </cell>
          <cell r="X14">
            <v>7500</v>
          </cell>
        </row>
        <row r="15">
          <cell r="R15">
            <v>25000</v>
          </cell>
          <cell r="X15">
            <v>42100</v>
          </cell>
        </row>
        <row r="16">
          <cell r="R16">
            <v>12000</v>
          </cell>
          <cell r="X16">
            <v>17700</v>
          </cell>
        </row>
        <row r="17">
          <cell r="R17">
            <v>12000</v>
          </cell>
          <cell r="X17">
            <v>0</v>
          </cell>
        </row>
        <row r="18">
          <cell r="R18">
            <v>17800</v>
          </cell>
          <cell r="X18">
            <v>0</v>
          </cell>
        </row>
        <row r="19">
          <cell r="R19">
            <v>37200</v>
          </cell>
          <cell r="X19">
            <v>0</v>
          </cell>
        </row>
      </sheetData>
      <sheetData sheetId="2">
        <row r="8">
          <cell r="R8">
            <v>120000</v>
          </cell>
          <cell r="X8">
            <v>0</v>
          </cell>
        </row>
        <row r="9">
          <cell r="R9">
            <v>120000</v>
          </cell>
          <cell r="X9">
            <v>0</v>
          </cell>
        </row>
        <row r="10">
          <cell r="R10">
            <v>120000</v>
          </cell>
          <cell r="X10">
            <v>0</v>
          </cell>
        </row>
        <row r="11">
          <cell r="R11">
            <v>105000</v>
          </cell>
          <cell r="X11">
            <v>220000</v>
          </cell>
        </row>
        <row r="12">
          <cell r="R12">
            <v>105000</v>
          </cell>
          <cell r="X12">
            <v>366000</v>
          </cell>
        </row>
        <row r="13">
          <cell r="R13">
            <v>150000</v>
          </cell>
          <cell r="X13">
            <v>387000</v>
          </cell>
        </row>
        <row r="14">
          <cell r="R14">
            <v>300000</v>
          </cell>
          <cell r="X14">
            <v>60000</v>
          </cell>
        </row>
        <row r="15">
          <cell r="R15">
            <v>299000</v>
          </cell>
          <cell r="X15">
            <v>321000</v>
          </cell>
        </row>
        <row r="16">
          <cell r="R16">
            <v>150000</v>
          </cell>
          <cell r="X16">
            <v>111000</v>
          </cell>
        </row>
        <row r="17">
          <cell r="R17">
            <v>105000</v>
          </cell>
          <cell r="X17">
            <v>0</v>
          </cell>
        </row>
        <row r="18">
          <cell r="R18">
            <v>105000</v>
          </cell>
          <cell r="X18">
            <v>0</v>
          </cell>
        </row>
        <row r="19">
          <cell r="R19">
            <v>120000</v>
          </cell>
          <cell r="X19">
            <v>0</v>
          </cell>
        </row>
      </sheetData>
      <sheetData sheetId="3">
        <row r="8">
          <cell r="R8">
            <v>48000</v>
          </cell>
          <cell r="X8">
            <v>0</v>
          </cell>
        </row>
        <row r="9">
          <cell r="R9">
            <v>48000</v>
          </cell>
          <cell r="X9">
            <v>0</v>
          </cell>
        </row>
        <row r="10">
          <cell r="R10">
            <v>48000</v>
          </cell>
          <cell r="X10">
            <v>0</v>
          </cell>
        </row>
        <row r="11">
          <cell r="R11">
            <v>40000</v>
          </cell>
          <cell r="X11">
            <v>87000</v>
          </cell>
        </row>
        <row r="12">
          <cell r="R12">
            <v>44000</v>
          </cell>
          <cell r="X12">
            <v>151000</v>
          </cell>
        </row>
        <row r="13">
          <cell r="R13">
            <v>60000</v>
          </cell>
          <cell r="X13">
            <v>164000</v>
          </cell>
        </row>
        <row r="14">
          <cell r="R14">
            <v>120000</v>
          </cell>
          <cell r="X14">
            <v>25000</v>
          </cell>
        </row>
        <row r="15">
          <cell r="R15">
            <v>120000</v>
          </cell>
          <cell r="X15">
            <v>132000</v>
          </cell>
        </row>
        <row r="16">
          <cell r="R16">
            <v>60000</v>
          </cell>
          <cell r="X16">
            <v>48000</v>
          </cell>
        </row>
        <row r="17">
          <cell r="R17">
            <v>42000</v>
          </cell>
          <cell r="X17">
            <v>0</v>
          </cell>
        </row>
        <row r="18">
          <cell r="R18">
            <v>42000</v>
          </cell>
          <cell r="X18">
            <v>0</v>
          </cell>
        </row>
        <row r="19">
          <cell r="R19">
            <v>48000</v>
          </cell>
          <cell r="X19">
            <v>0</v>
          </cell>
        </row>
      </sheetData>
      <sheetData sheetId="4">
        <row r="8">
          <cell r="R8">
            <v>48000</v>
          </cell>
          <cell r="X8">
            <v>0</v>
          </cell>
        </row>
        <row r="9">
          <cell r="R9">
            <v>48000</v>
          </cell>
          <cell r="X9">
            <v>0</v>
          </cell>
        </row>
        <row r="10">
          <cell r="R10">
            <v>48000</v>
          </cell>
          <cell r="X10">
            <v>0</v>
          </cell>
        </row>
        <row r="11">
          <cell r="R11">
            <v>42000</v>
          </cell>
          <cell r="X11">
            <v>87000</v>
          </cell>
        </row>
        <row r="12">
          <cell r="R12">
            <v>42000</v>
          </cell>
          <cell r="X12">
            <v>151000</v>
          </cell>
        </row>
        <row r="13">
          <cell r="R13">
            <v>60000</v>
          </cell>
          <cell r="X13">
            <v>164000</v>
          </cell>
        </row>
        <row r="14">
          <cell r="R14">
            <v>120000</v>
          </cell>
          <cell r="X14">
            <v>25000</v>
          </cell>
        </row>
        <row r="15">
          <cell r="R15">
            <v>120000</v>
          </cell>
          <cell r="X15">
            <v>132000</v>
          </cell>
        </row>
        <row r="16">
          <cell r="R16">
            <v>60000</v>
          </cell>
          <cell r="X16">
            <v>48000</v>
          </cell>
        </row>
        <row r="17">
          <cell r="R17">
            <v>42000</v>
          </cell>
          <cell r="X17">
            <v>0</v>
          </cell>
        </row>
        <row r="18">
          <cell r="R18">
            <v>42000</v>
          </cell>
          <cell r="X18">
            <v>0</v>
          </cell>
        </row>
        <row r="19">
          <cell r="R19">
            <v>48000</v>
          </cell>
          <cell r="X19">
            <v>0</v>
          </cell>
        </row>
      </sheetData>
      <sheetData sheetId="5">
        <row r="8">
          <cell r="R8">
            <v>120000</v>
          </cell>
          <cell r="X8">
            <v>0</v>
          </cell>
        </row>
        <row r="9">
          <cell r="R9">
            <v>120000</v>
          </cell>
          <cell r="X9">
            <v>0</v>
          </cell>
        </row>
        <row r="10">
          <cell r="R10">
            <v>120000</v>
          </cell>
          <cell r="X10">
            <v>0</v>
          </cell>
        </row>
        <row r="11">
          <cell r="R11">
            <v>105000</v>
          </cell>
          <cell r="X11">
            <v>220000</v>
          </cell>
        </row>
        <row r="12">
          <cell r="R12">
            <v>105000</v>
          </cell>
          <cell r="X12">
            <v>364000</v>
          </cell>
        </row>
        <row r="13">
          <cell r="R13">
            <v>150000</v>
          </cell>
          <cell r="X13">
            <v>387000</v>
          </cell>
        </row>
        <row r="14">
          <cell r="R14">
            <v>300000</v>
          </cell>
          <cell r="X14">
            <v>60000</v>
          </cell>
        </row>
        <row r="15">
          <cell r="R15">
            <v>299000</v>
          </cell>
          <cell r="X15">
            <v>321000</v>
          </cell>
        </row>
        <row r="16">
          <cell r="R16">
            <v>150000</v>
          </cell>
          <cell r="X16">
            <v>111000</v>
          </cell>
        </row>
        <row r="17">
          <cell r="R17">
            <v>105000</v>
          </cell>
          <cell r="X17">
            <v>0</v>
          </cell>
        </row>
        <row r="18">
          <cell r="R18">
            <v>105000</v>
          </cell>
          <cell r="X18">
            <v>0</v>
          </cell>
        </row>
        <row r="19">
          <cell r="R19">
            <v>120000</v>
          </cell>
          <cell r="X19">
            <v>0</v>
          </cell>
        </row>
      </sheetData>
      <sheetData sheetId="6">
        <row r="8">
          <cell r="R8">
            <v>48000</v>
          </cell>
          <cell r="X8">
            <v>0</v>
          </cell>
        </row>
        <row r="9">
          <cell r="R9">
            <v>48000</v>
          </cell>
          <cell r="X9">
            <v>0</v>
          </cell>
        </row>
        <row r="10">
          <cell r="R10">
            <v>48000</v>
          </cell>
          <cell r="X10">
            <v>0</v>
          </cell>
        </row>
        <row r="11">
          <cell r="R11">
            <v>42000</v>
          </cell>
          <cell r="X11">
            <v>87000</v>
          </cell>
        </row>
        <row r="12">
          <cell r="R12">
            <v>42000</v>
          </cell>
          <cell r="X12">
            <v>151000</v>
          </cell>
        </row>
        <row r="13">
          <cell r="R13">
            <v>60000</v>
          </cell>
          <cell r="X13">
            <v>164000</v>
          </cell>
        </row>
        <row r="14">
          <cell r="R14">
            <v>120000</v>
          </cell>
          <cell r="X14">
            <v>25000</v>
          </cell>
        </row>
        <row r="15">
          <cell r="R15">
            <v>120000</v>
          </cell>
          <cell r="X15">
            <v>132000</v>
          </cell>
        </row>
        <row r="16">
          <cell r="R16">
            <v>58000</v>
          </cell>
          <cell r="X16">
            <v>48000</v>
          </cell>
        </row>
        <row r="17">
          <cell r="R17">
            <v>44000</v>
          </cell>
          <cell r="X17">
            <v>0</v>
          </cell>
        </row>
        <row r="18">
          <cell r="R18">
            <v>42000</v>
          </cell>
          <cell r="X18">
            <v>0</v>
          </cell>
        </row>
        <row r="19">
          <cell r="R19">
            <v>48000</v>
          </cell>
          <cell r="X19">
            <v>0</v>
          </cell>
        </row>
      </sheetData>
      <sheetData sheetId="7">
        <row r="8">
          <cell r="R8">
            <v>184000</v>
          </cell>
          <cell r="X8">
            <v>0</v>
          </cell>
        </row>
        <row r="9">
          <cell r="R9">
            <v>184000</v>
          </cell>
          <cell r="X9">
            <v>0</v>
          </cell>
        </row>
        <row r="10">
          <cell r="R10">
            <v>184000</v>
          </cell>
          <cell r="X10">
            <v>0</v>
          </cell>
        </row>
        <row r="11">
          <cell r="R11">
            <v>161000</v>
          </cell>
          <cell r="X11">
            <v>352000</v>
          </cell>
        </row>
        <row r="12">
          <cell r="R12">
            <v>161000</v>
          </cell>
          <cell r="X12">
            <v>558000</v>
          </cell>
        </row>
        <row r="13">
          <cell r="R13">
            <v>230000</v>
          </cell>
          <cell r="X13">
            <v>588000</v>
          </cell>
        </row>
        <row r="14">
          <cell r="R14">
            <v>460000</v>
          </cell>
          <cell r="X14">
            <v>90000</v>
          </cell>
        </row>
        <row r="15">
          <cell r="R15">
            <v>459000</v>
          </cell>
          <cell r="X15">
            <v>467000</v>
          </cell>
        </row>
        <row r="16">
          <cell r="R16">
            <v>230000</v>
          </cell>
          <cell r="X16">
            <v>168000</v>
          </cell>
        </row>
        <row r="17">
          <cell r="R17">
            <v>161000</v>
          </cell>
          <cell r="X17">
            <v>0</v>
          </cell>
        </row>
        <row r="18">
          <cell r="R18">
            <v>161000</v>
          </cell>
          <cell r="X18">
            <v>0</v>
          </cell>
        </row>
        <row r="19">
          <cell r="R19">
            <v>184000</v>
          </cell>
          <cell r="X19">
            <v>0</v>
          </cell>
        </row>
      </sheetData>
      <sheetData sheetId="8">
        <row r="8">
          <cell r="R8">
            <v>76000</v>
          </cell>
          <cell r="X8">
            <v>0</v>
          </cell>
        </row>
        <row r="9">
          <cell r="R9">
            <v>31800</v>
          </cell>
          <cell r="X9">
            <v>0</v>
          </cell>
        </row>
        <row r="10">
          <cell r="R10">
            <v>29000</v>
          </cell>
          <cell r="X10">
            <v>0</v>
          </cell>
        </row>
        <row r="11">
          <cell r="R11">
            <v>30000</v>
          </cell>
          <cell r="X11">
            <v>75400</v>
          </cell>
        </row>
        <row r="12">
          <cell r="R12">
            <v>30000</v>
          </cell>
          <cell r="X12">
            <v>127000</v>
          </cell>
        </row>
        <row r="13">
          <cell r="R13">
            <v>24000</v>
          </cell>
          <cell r="X13">
            <v>111600</v>
          </cell>
        </row>
        <row r="14">
          <cell r="R14">
            <v>42800</v>
          </cell>
          <cell r="X14">
            <v>15000</v>
          </cell>
        </row>
        <row r="15">
          <cell r="R15">
            <v>50000</v>
          </cell>
          <cell r="X15">
            <v>84200</v>
          </cell>
        </row>
        <row r="16">
          <cell r="R16">
            <v>24000</v>
          </cell>
          <cell r="X16">
            <v>35400</v>
          </cell>
        </row>
        <row r="17">
          <cell r="R17">
            <v>24000</v>
          </cell>
          <cell r="X17">
            <v>0</v>
          </cell>
        </row>
        <row r="18">
          <cell r="R18">
            <v>35600</v>
          </cell>
          <cell r="X18">
            <v>0</v>
          </cell>
        </row>
        <row r="19">
          <cell r="R19">
            <v>74400</v>
          </cell>
          <cell r="X19">
            <v>0</v>
          </cell>
        </row>
      </sheetData>
      <sheetData sheetId="9">
        <row r="8">
          <cell r="R8">
            <v>76000</v>
          </cell>
          <cell r="X8">
            <v>0</v>
          </cell>
        </row>
        <row r="9">
          <cell r="R9">
            <v>31800</v>
          </cell>
          <cell r="X9">
            <v>0</v>
          </cell>
        </row>
        <row r="10">
          <cell r="R10">
            <v>29000</v>
          </cell>
          <cell r="X10">
            <v>0</v>
          </cell>
        </row>
        <row r="11">
          <cell r="R11">
            <v>30000</v>
          </cell>
          <cell r="X11">
            <v>75400</v>
          </cell>
        </row>
        <row r="12">
          <cell r="R12">
            <v>30000</v>
          </cell>
          <cell r="X12">
            <v>127000</v>
          </cell>
        </row>
        <row r="13">
          <cell r="R13">
            <v>24000</v>
          </cell>
          <cell r="X13">
            <v>111600</v>
          </cell>
        </row>
        <row r="14">
          <cell r="R14">
            <v>42800</v>
          </cell>
          <cell r="X14">
            <v>15000</v>
          </cell>
        </row>
        <row r="15">
          <cell r="R15">
            <v>50000</v>
          </cell>
          <cell r="X15">
            <v>84200</v>
          </cell>
        </row>
        <row r="16">
          <cell r="R16">
            <v>24000</v>
          </cell>
          <cell r="X16">
            <v>35400</v>
          </cell>
        </row>
        <row r="17">
          <cell r="R17">
            <v>24000</v>
          </cell>
          <cell r="X17">
            <v>0</v>
          </cell>
        </row>
        <row r="18">
          <cell r="R18">
            <v>35600</v>
          </cell>
          <cell r="X18">
            <v>0</v>
          </cell>
        </row>
        <row r="19">
          <cell r="R19">
            <v>74400</v>
          </cell>
          <cell r="X19">
            <v>0</v>
          </cell>
        </row>
      </sheetData>
      <sheetData sheetId="10">
        <row r="8">
          <cell r="R8">
            <v>190000</v>
          </cell>
          <cell r="X8">
            <v>0</v>
          </cell>
        </row>
        <row r="9">
          <cell r="R9">
            <v>79500</v>
          </cell>
          <cell r="X9">
            <v>0</v>
          </cell>
        </row>
        <row r="10">
          <cell r="R10">
            <v>72500</v>
          </cell>
          <cell r="X10">
            <v>0</v>
          </cell>
        </row>
        <row r="11">
          <cell r="R11">
            <v>75000</v>
          </cell>
          <cell r="X11">
            <v>188500</v>
          </cell>
        </row>
        <row r="12">
          <cell r="R12">
            <v>75000</v>
          </cell>
          <cell r="X12">
            <v>317500</v>
          </cell>
        </row>
        <row r="13">
          <cell r="R13">
            <v>60000</v>
          </cell>
          <cell r="X13">
            <v>279000</v>
          </cell>
        </row>
        <row r="14">
          <cell r="R14">
            <v>107000</v>
          </cell>
          <cell r="X14">
            <v>37500</v>
          </cell>
        </row>
        <row r="15">
          <cell r="R15">
            <v>125000</v>
          </cell>
          <cell r="X15">
            <v>210500</v>
          </cell>
        </row>
        <row r="16">
          <cell r="R16">
            <v>60000</v>
          </cell>
          <cell r="X16">
            <v>88500</v>
          </cell>
        </row>
        <row r="17">
          <cell r="R17">
            <v>60000</v>
          </cell>
          <cell r="X17">
            <v>0</v>
          </cell>
        </row>
        <row r="18">
          <cell r="R18">
            <v>89000</v>
          </cell>
          <cell r="X18">
            <v>0</v>
          </cell>
        </row>
        <row r="19">
          <cell r="R19">
            <v>186000</v>
          </cell>
          <cell r="X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My%20Documents/Excel/KMEA/Budget/2003/WAPA%20PROJECT%20-%20ASHLAND:WAPA%20PROJECT%20-%20BELOI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4"/>
  <sheetViews>
    <sheetView zoomScaleNormal="100" workbookViewId="0">
      <selection activeCell="F23" sqref="F23"/>
    </sheetView>
  </sheetViews>
  <sheetFormatPr defaultRowHeight="14.1" customHeight="1" x14ac:dyDescent="0.2"/>
  <cols>
    <col min="1" max="1" width="10.7109375" style="2" customWidth="1"/>
    <col min="2" max="2" width="1.7109375" style="2" customWidth="1"/>
    <col min="3" max="3" width="15.7109375" style="2" customWidth="1"/>
    <col min="4" max="4" width="5.7109375" style="2" customWidth="1"/>
    <col min="5" max="5" width="2.28515625" style="2" customWidth="1"/>
    <col min="6" max="6" width="10.7109375" style="2" customWidth="1"/>
    <col min="7" max="7" width="1.7109375" style="2" customWidth="1"/>
    <col min="8" max="8" width="10.7109375" style="2" customWidth="1"/>
    <col min="9" max="9" width="2.7109375" style="2" customWidth="1"/>
    <col min="10" max="10" width="11" style="2" customWidth="1"/>
    <col min="11" max="11" width="2.42578125" style="2" customWidth="1"/>
    <col min="12" max="16384" width="9.140625" style="2"/>
  </cols>
  <sheetData>
    <row r="1" spans="1:10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</row>
    <row r="2" spans="1:10" ht="15.95" customHeight="1" x14ac:dyDescent="0.2">
      <c r="A2" s="16"/>
      <c r="B2" s="124" t="s">
        <v>157</v>
      </c>
      <c r="C2" s="124"/>
      <c r="D2" s="124"/>
      <c r="E2" s="124"/>
      <c r="F2" s="124"/>
      <c r="G2" s="124"/>
      <c r="H2" s="124"/>
      <c r="I2" s="124"/>
      <c r="J2" s="124"/>
    </row>
    <row r="3" spans="1:10" ht="15.95" customHeight="1" x14ac:dyDescent="0.2">
      <c r="A3" s="16"/>
      <c r="B3" s="16"/>
      <c r="C3" s="16"/>
      <c r="D3" s="16"/>
      <c r="E3"/>
      <c r="F3" s="17"/>
      <c r="G3" s="7"/>
      <c r="H3" s="16"/>
      <c r="I3" s="16"/>
      <c r="J3" s="16"/>
    </row>
    <row r="4" spans="1:10" ht="15.95" customHeight="1" x14ac:dyDescent="0.2">
      <c r="A4" s="16"/>
      <c r="B4" s="123" t="s">
        <v>21</v>
      </c>
      <c r="C4" s="123"/>
      <c r="D4" s="123"/>
      <c r="E4" s="123"/>
      <c r="F4" s="123"/>
      <c r="G4" s="123"/>
      <c r="H4" s="123"/>
      <c r="I4" s="123"/>
      <c r="J4" s="123"/>
    </row>
    <row r="5" spans="1:10" ht="14.1" customHeight="1" x14ac:dyDescent="0.2">
      <c r="E5"/>
    </row>
    <row r="6" spans="1:10" ht="14.1" customHeight="1" x14ac:dyDescent="0.2">
      <c r="C6" s="11"/>
    </row>
    <row r="7" spans="1:10" ht="14.1" customHeight="1" x14ac:dyDescent="0.2">
      <c r="J7" s="3" t="s">
        <v>92</v>
      </c>
    </row>
    <row r="8" spans="1:10" ht="14.1" customHeight="1" x14ac:dyDescent="0.2">
      <c r="E8"/>
      <c r="F8" s="60">
        <v>2015</v>
      </c>
      <c r="G8" s="61"/>
      <c r="H8" s="62">
        <v>2014</v>
      </c>
      <c r="I8" s="3"/>
      <c r="J8" s="59" t="s">
        <v>93</v>
      </c>
    </row>
    <row r="9" spans="1:10" ht="14.1" customHeight="1" x14ac:dyDescent="0.2">
      <c r="B9" s="19"/>
      <c r="C9" s="5" t="s">
        <v>23</v>
      </c>
      <c r="D9" s="24"/>
      <c r="E9"/>
      <c r="F9" s="5" t="s">
        <v>24</v>
      </c>
      <c r="G9" s="3"/>
      <c r="H9" s="44" t="s">
        <v>24</v>
      </c>
      <c r="I9" s="3"/>
      <c r="J9" s="5" t="s">
        <v>25</v>
      </c>
    </row>
    <row r="10" spans="1:10" ht="21" customHeight="1" x14ac:dyDescent="0.2">
      <c r="B10" s="22" t="s">
        <v>27</v>
      </c>
      <c r="C10"/>
      <c r="D10" s="20"/>
      <c r="E10"/>
      <c r="F10" s="36" t="e">
        <f>+CHA!H14+GARN!H14+IOLA!H14+MULV!H14+NEO!H14+OSAW!H14+OTT!H14+WELL!H14+#REF!</f>
        <v>#REF!</v>
      </c>
      <c r="H10" s="45"/>
      <c r="J10" s="8"/>
    </row>
    <row r="11" spans="1:10" ht="18" customHeight="1" x14ac:dyDescent="0.2">
      <c r="B11" s="22"/>
      <c r="C11" t="s">
        <v>28</v>
      </c>
      <c r="D11" s="20"/>
      <c r="E11"/>
      <c r="F11" s="9">
        <f>F25-F12</f>
        <v>848024.20000000019</v>
      </c>
      <c r="H11" s="45">
        <f>H25-H12</f>
        <v>839689.9600000002</v>
      </c>
      <c r="J11" s="9">
        <f>+F11-H11</f>
        <v>8334.2399999999907</v>
      </c>
    </row>
    <row r="12" spans="1:10" ht="18" customHeight="1" x14ac:dyDescent="0.2">
      <c r="B12" s="22"/>
      <c r="C12" t="s">
        <v>29</v>
      </c>
      <c r="D12" s="20"/>
      <c r="E12"/>
      <c r="F12" s="2">
        <f>'CLASS B CITIES'!P24</f>
        <v>450</v>
      </c>
      <c r="H12" s="43">
        <f>'CLASS B CITIES'!I24</f>
        <v>700</v>
      </c>
      <c r="J12" s="10">
        <f>+F12-H12</f>
        <v>-250</v>
      </c>
    </row>
    <row r="13" spans="1:10" ht="26.1" customHeight="1" thickBot="1" x14ac:dyDescent="0.25">
      <c r="B13" s="22"/>
      <c r="C13" s="23" t="s">
        <v>30</v>
      </c>
      <c r="D13" s="20"/>
      <c r="E13"/>
      <c r="F13" s="14">
        <f>+F11+F12</f>
        <v>848474.20000000019</v>
      </c>
      <c r="H13" s="46">
        <f>+H11+H12</f>
        <v>840389.9600000002</v>
      </c>
      <c r="J13" s="14">
        <f>+F13-H13</f>
        <v>8084.2399999999907</v>
      </c>
    </row>
    <row r="14" spans="1:10" ht="18" customHeight="1" thickTop="1" x14ac:dyDescent="0.2">
      <c r="B14" s="22"/>
      <c r="C14"/>
      <c r="D14" s="20"/>
      <c r="E14"/>
      <c r="F14" s="9"/>
      <c r="H14" s="9"/>
      <c r="J14" s="8"/>
    </row>
    <row r="15" spans="1:10" ht="18" customHeight="1" x14ac:dyDescent="0.2">
      <c r="B15" s="22"/>
      <c r="C15"/>
      <c r="D15" s="20"/>
      <c r="E15"/>
      <c r="F15" s="36" t="e">
        <f>+SUM(AUG:WELL!H20)</f>
        <v>#REF!</v>
      </c>
      <c r="G15" s="36"/>
      <c r="H15" s="36">
        <f>+SUM(AUG:WELL!J20)</f>
        <v>1236.48</v>
      </c>
      <c r="J15" s="8"/>
    </row>
    <row r="16" spans="1:10" ht="18" customHeight="1" x14ac:dyDescent="0.2">
      <c r="B16" s="22" t="s">
        <v>31</v>
      </c>
      <c r="C16"/>
      <c r="D16" s="20"/>
      <c r="E16"/>
      <c r="F16" s="36" t="e">
        <f>+SUM(AUG:WELL!H22)</f>
        <v>#REF!</v>
      </c>
      <c r="G16" s="36"/>
      <c r="H16" s="36">
        <f>+SUM(AUG:WELL!J22)</f>
        <v>0</v>
      </c>
      <c r="J16" s="8"/>
    </row>
    <row r="17" spans="2:10" ht="18" customHeight="1" x14ac:dyDescent="0.2">
      <c r="C17" s="2" t="s">
        <v>32</v>
      </c>
      <c r="E17"/>
      <c r="F17" s="9">
        <f>AUG!H13+AUG!H17+AUG!H20+CHA!H13+CHA!H17+CHA!H20+GARN!H13+GARN!H17+GARN!H20+IOLA!H13+IOLA!H17+IOLA!H20+MULV!H13+MULV!H17+MULV!H20+NEO!H13+NEO!H17+NEO!H20+OSAW!H13+OSAW!H17+OSAW!H20+OTT!H13+OTT!H17+OTT!H20+WELL!H13+WELL!H17+WELL!H20+BAL!H13+BAL!H17+BAL!H20+OBE!H13+OBE!H17+OBE!H20+HOLT!H13+HOLT!H17+HOLT!H20+HORT!H13+HORT!H17+HORT!H20+SHAR!H13+SHAR!H17+SHAR!H20+STFR!H13+STFR!H17+STFR!H20+WAME!H13+WAME!H17+WAME!H20</f>
        <v>493819.20000000013</v>
      </c>
      <c r="H17" s="9">
        <f>AUG!J13+AUG!J17+AUG!J20+CHA!J13+CHA!J17+CHA!J20+GARN!J13+GARN!J17+GARN!J20+IOLA!J13+IOLA!J17+IOLA!J20+MULV!J13+MULV!J17+MULV!J20+NEO!J13+NEO!J17+NEO!J20+OSAW!J13+OSAW!J17+OSAW!J20+OTT!J13+OTT!J17+OTT!J20+WELL!J13+WELL!J17+WELL!J20+BAL!J13+BAL!J17+BAL!J20+OBE!J13+OBE!J17+OBE!J20</f>
        <v>499272.9600000002</v>
      </c>
      <c r="J17" s="9">
        <f>-F17+H17</f>
        <v>5453.7600000000675</v>
      </c>
    </row>
    <row r="18" spans="2:10" ht="18" customHeight="1" x14ac:dyDescent="0.2">
      <c r="C18" s="2" t="s">
        <v>34</v>
      </c>
      <c r="D18" s="8"/>
      <c r="F18" s="15">
        <f>AUG!H23+AUG!H24+CHA!H23+CHA!H24+GARN!H23+GARN!H24+IOLA!H23+IOLA!H24+MULV!H23+MULV!H24+NEO!H23+NEO!H24+OSAW!H23+OSAW!H24+OTT!H23+OTT!H24+WELL!H23+WELL!H24+BAL!H23+BAL!H24+OBE!H23+OBE!H24+HOLT!H23+HOLT!H24+HORT!H23+HORT!H24+SHAR!H23+SHAR!H24+STFR!H23+STFR!H24+WAME!H23+WAME!H24</f>
        <v>273733</v>
      </c>
      <c r="H18" s="15">
        <f>AUG!J23+AUG!J24+CHA!J23+CHA!J24+GARN!J23+GARN!J24+IOLA!J23+IOLA!J24+MULV!J23+MULV!J24+NEO!J23+NEO!J24+OSAW!J23+OSAW!J24+OTT!J23+OTT!J24+WELL!J23+WELL!J24+BAL!J23+BAL!J24+OBE!J23+OBE!J24</f>
        <v>251301</v>
      </c>
      <c r="J18" s="53">
        <f>-F18+H18</f>
        <v>-22432</v>
      </c>
    </row>
    <row r="19" spans="2:10" ht="15.95" customHeight="1" x14ac:dyDescent="0.2">
      <c r="C19" s="2" t="s">
        <v>81</v>
      </c>
      <c r="D19" s="8"/>
      <c r="F19" s="2">
        <f>+F17+F18</f>
        <v>767552.20000000019</v>
      </c>
      <c r="H19" s="2">
        <f>+H17+H18</f>
        <v>750573.9600000002</v>
      </c>
      <c r="J19" s="10">
        <f t="shared" ref="J19:J24" si="0">-F19+H19</f>
        <v>-16978.239999999991</v>
      </c>
    </row>
    <row r="20" spans="2:10" ht="18" customHeight="1" x14ac:dyDescent="0.2">
      <c r="C20" s="2" t="s">
        <v>33</v>
      </c>
      <c r="E20"/>
      <c r="F20" s="37">
        <f>AUG!H14+CHA!H14+GARN!H14+IOLA!H14+MULV!H14+NEO!H14+OSAW!H14+OTT!H14+WELL!H14+BAL!H14+OBE!H14+HOLT!H14+HORT!H14+SHAR!H14+STFR!H14+WAME!H14</f>
        <v>9828</v>
      </c>
      <c r="H20" s="37">
        <f>AUG!J14+CHA!J14+GARN!J14+IOLA!J14+MULV!J14+NEO!J14+OSAW!J14+OTT!J14+WELL!J14+BAL!J26+OBE!J14</f>
        <v>16200</v>
      </c>
      <c r="J20" s="10">
        <f t="shared" si="0"/>
        <v>6372</v>
      </c>
    </row>
    <row r="21" spans="2:10" ht="18" customHeight="1" x14ac:dyDescent="0.2">
      <c r="C21" s="2" t="s">
        <v>35</v>
      </c>
      <c r="D21" s="8"/>
      <c r="F21" s="2">
        <f>AUG!H26+AUG!H28+CHA!H26+CHA!H28+GARN!H26+GARN!H28+IOLA!H26+IOLA!H28+MULV!H26+MULV!H28+NEO!H26+NEO!H28+OSAW!H26+OSAW!H28+OTT!H26+OTT!H28+WELL!H26+WELL!H28+BAL!H28+BAL!H26+OBE!H26+OBE!H28+HOLT!H26+HOLT!H28+HORT!H26+HORT!H28+SHAR!H26+SHAR!H28+STFR!H26+STFR!H28+WAME!H26+WAME!H28</f>
        <v>5362</v>
      </c>
      <c r="H21" s="2">
        <f>AUG!J26+AUG!J28+CHA!J26+CHA!J28+GARN!J26+GARN!J28+IOLA!J26+IOLA!J28+MULV!J26+MULV!J28+NEO!J26+NEO!J28+OSAW!J26+OSAW!J28+OTT!J26+OTT!J28+WELL!J26+WELL!J28+AUG!J28+OBE!J26+OBE!J28</f>
        <v>8204</v>
      </c>
      <c r="J21" s="10">
        <f t="shared" si="0"/>
        <v>2842</v>
      </c>
    </row>
    <row r="22" spans="2:10" ht="18" customHeight="1" x14ac:dyDescent="0.2">
      <c r="C22" s="2" t="s">
        <v>79</v>
      </c>
      <c r="D22" s="8"/>
      <c r="F22" s="37">
        <f>AUG!H31+CHA!H31+GARN!H31+IOLA!H31+MULV!H31+NEO!H31+OSAW!H31+OTT!H31+WELL!H31+BAL!H31+OBE!H31+HOLT!H31+HORT!H31+SHAR!H31+STFR!H31+WAME!H31</f>
        <v>2460</v>
      </c>
      <c r="H22" s="37">
        <f>AUG!J31+CHA!J31+GARN!J31+IOLA!J31+MULV!J31+NEO!J31+OSAW!J31+OTT!J31+WELL!J31+BAL!J31+OBE!J31</f>
        <v>2460</v>
      </c>
      <c r="J22" s="10">
        <f t="shared" si="0"/>
        <v>0</v>
      </c>
    </row>
    <row r="23" spans="2:10" ht="18" customHeight="1" x14ac:dyDescent="0.2">
      <c r="C23" s="2" t="s">
        <v>36</v>
      </c>
      <c r="D23" s="8"/>
      <c r="F23" s="85">
        <f>AUG!H33+CHA!H33+GARN!H33+IOLA!H33+MULV!H33+NEO!H33+OSAW!H33+OTT!H33+WELL!H33+BAL!H33+OBE!H33+HOLT!H33+HORT!H33+SHAR!H33+STFR!H33+WAME!H33</f>
        <v>62821.999999999993</v>
      </c>
      <c r="H23" s="85">
        <f>AUG!J33+CHA!J33+GARN!J33+IOLA!J33+MULV!J33+NEO!J33+OSAW!J33+OTT!J33+WELL!J33+BAL!J33+OBE!J33</f>
        <v>62251.999999999993</v>
      </c>
      <c r="J23" s="10">
        <f t="shared" si="0"/>
        <v>-570</v>
      </c>
    </row>
    <row r="24" spans="2:10" ht="18" customHeight="1" x14ac:dyDescent="0.2">
      <c r="C24" s="2" t="s">
        <v>37</v>
      </c>
      <c r="F24" s="2">
        <f>+F12</f>
        <v>450</v>
      </c>
      <c r="H24" s="2">
        <f>+H12</f>
        <v>700</v>
      </c>
      <c r="J24" s="10">
        <f t="shared" si="0"/>
        <v>250</v>
      </c>
    </row>
    <row r="25" spans="2:10" ht="26.1" customHeight="1" thickBot="1" x14ac:dyDescent="0.25">
      <c r="B25"/>
      <c r="C25" s="22" t="s">
        <v>38</v>
      </c>
      <c r="F25" s="14">
        <f>SUM(F19:F24)</f>
        <v>848474.20000000019</v>
      </c>
      <c r="H25" s="14">
        <f>SUM(H19:H24)</f>
        <v>840389.9600000002</v>
      </c>
      <c r="I25" s="7"/>
      <c r="J25" s="14">
        <f>+SUM(J19:J24)</f>
        <v>-8084.2399999999907</v>
      </c>
    </row>
    <row r="26" spans="2:10" ht="26.1" customHeight="1" thickTop="1" x14ac:dyDescent="0.2">
      <c r="B26"/>
      <c r="C26" s="22"/>
      <c r="F26" s="41"/>
      <c r="H26" s="41"/>
      <c r="I26" s="7"/>
      <c r="J26" s="41"/>
    </row>
    <row r="27" spans="2:10" ht="18" customHeight="1" x14ac:dyDescent="0.2">
      <c r="E27"/>
      <c r="J27" s="10"/>
    </row>
    <row r="28" spans="2:10" ht="14.1" customHeight="1" x14ac:dyDescent="0.2">
      <c r="E28"/>
    </row>
    <row r="29" spans="2:10" ht="14.1" customHeight="1" x14ac:dyDescent="0.2">
      <c r="D29" s="13"/>
      <c r="E29"/>
      <c r="J29" s="10"/>
    </row>
    <row r="30" spans="2:10" ht="14.1" customHeight="1" x14ac:dyDescent="0.2">
      <c r="B30" s="54" t="s">
        <v>94</v>
      </c>
      <c r="C30" s="55"/>
      <c r="D30" s="55"/>
      <c r="E30" s="56"/>
      <c r="F30" s="55"/>
      <c r="G30" s="55"/>
      <c r="H30" s="55"/>
      <c r="I30" s="55"/>
      <c r="J30" s="64"/>
    </row>
    <row r="31" spans="2:10" ht="14.1" customHeight="1" x14ac:dyDescent="0.2">
      <c r="B31" s="63"/>
      <c r="C31" s="43" t="s">
        <v>184</v>
      </c>
      <c r="D31" s="43"/>
      <c r="E31" s="43"/>
      <c r="F31" s="43"/>
      <c r="G31" s="43"/>
      <c r="H31" s="43"/>
      <c r="I31" s="43"/>
      <c r="J31" s="111"/>
    </row>
    <row r="32" spans="2:10" ht="14.1" customHeight="1" x14ac:dyDescent="0.2">
      <c r="B32" s="63"/>
      <c r="C32" s="43" t="s">
        <v>185</v>
      </c>
      <c r="D32" s="43"/>
      <c r="E32" s="43"/>
      <c r="F32" s="43"/>
      <c r="G32" s="43"/>
      <c r="H32" s="43"/>
      <c r="I32" s="43"/>
      <c r="J32" s="111"/>
    </row>
    <row r="33" spans="2:10" ht="14.1" customHeight="1" x14ac:dyDescent="0.2">
      <c r="B33" s="63"/>
      <c r="C33" s="43"/>
      <c r="D33" s="43"/>
      <c r="E33" s="43"/>
      <c r="F33" s="43"/>
      <c r="G33" s="43"/>
      <c r="H33" s="43"/>
      <c r="I33" s="43"/>
      <c r="J33" s="111"/>
    </row>
    <row r="34" spans="2:10" ht="14.1" customHeight="1" x14ac:dyDescent="0.2">
      <c r="B34" s="63"/>
      <c r="C34" s="43"/>
      <c r="D34" s="43"/>
      <c r="E34" s="43"/>
      <c r="F34" s="43"/>
      <c r="G34" s="43"/>
      <c r="H34" s="43"/>
      <c r="I34" s="43"/>
      <c r="J34" s="111"/>
    </row>
    <row r="35" spans="2:10" ht="14.1" customHeight="1" x14ac:dyDescent="0.2">
      <c r="B35" s="63"/>
      <c r="C35" s="43"/>
      <c r="D35" s="43"/>
      <c r="E35" s="43"/>
      <c r="F35" s="43"/>
      <c r="G35" s="43"/>
      <c r="H35" s="43"/>
      <c r="I35" s="43"/>
      <c r="J35" s="111"/>
    </row>
    <row r="36" spans="2:10" ht="14.1" customHeight="1" x14ac:dyDescent="0.2">
      <c r="B36" s="63"/>
      <c r="J36" s="65"/>
    </row>
    <row r="37" spans="2:10" ht="14.1" customHeight="1" x14ac:dyDescent="0.2">
      <c r="B37" s="57"/>
      <c r="C37" s="15"/>
      <c r="D37" s="15"/>
      <c r="E37" s="19"/>
      <c r="F37" s="15"/>
      <c r="G37" s="15"/>
      <c r="H37" s="15"/>
      <c r="I37" s="15"/>
      <c r="J37" s="58"/>
    </row>
    <row r="38" spans="2:10" ht="14.1" customHeight="1" x14ac:dyDescent="0.2">
      <c r="D38" s="21"/>
      <c r="E38"/>
      <c r="J38" s="10"/>
    </row>
    <row r="39" spans="2:10" ht="14.1" customHeight="1" x14ac:dyDescent="0.2">
      <c r="E39"/>
    </row>
    <row r="40" spans="2:10" ht="14.1" customHeight="1" x14ac:dyDescent="0.2">
      <c r="E40"/>
    </row>
    <row r="41" spans="2:10" ht="14.1" customHeight="1" x14ac:dyDescent="0.2">
      <c r="E41"/>
    </row>
    <row r="42" spans="2:10" ht="14.1" customHeight="1" x14ac:dyDescent="0.2">
      <c r="E42"/>
    </row>
    <row r="44" spans="2:10" ht="14.1" customHeight="1" x14ac:dyDescent="0.2">
      <c r="C44"/>
    </row>
  </sheetData>
  <dataConsolidate>
    <dataRefs count="1">
      <dataRef ref="F11" r:id="rId1"/>
    </dataRefs>
  </dataConsolidate>
  <mergeCells count="3">
    <mergeCell ref="B1:J1"/>
    <mergeCell ref="B2:J2"/>
    <mergeCell ref="B4:J4"/>
  </mergeCells>
  <phoneticPr fontId="0" type="noConversion"/>
  <pageMargins left="0.75" right="0.75" top="0.75" bottom="1" header="0.5" footer="0.5"/>
  <pageSetup orientation="portrait" horizontalDpi="4294967292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51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12.8554687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9.5703125" style="2" bestFit="1" customWidth="1"/>
    <col min="9" max="9" width="1.7109375" style="2" customWidth="1"/>
    <col min="10" max="10" width="9.5703125" style="2" bestFit="1" customWidth="1"/>
    <col min="11" max="11" width="2.7109375" style="2" customWidth="1"/>
    <col min="12" max="12" width="9.140625" style="2" bestFit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49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City'!N35</f>
        <v>70980</v>
      </c>
      <c r="I13" s="10"/>
      <c r="J13" s="9">
        <f>[1]IOLA!$H$13</f>
        <v>81000</v>
      </c>
      <c r="L13" s="9">
        <f>-H13+J13</f>
        <v>10020</v>
      </c>
    </row>
    <row r="14" spans="1:12" ht="14.1" customHeight="1" x14ac:dyDescent="0.2">
      <c r="B14" s="6"/>
      <c r="C14" s="26" t="s">
        <v>40</v>
      </c>
      <c r="D14" s="35">
        <f>'SWPA Charges by City'!B54</f>
        <v>400</v>
      </c>
      <c r="E14" s="2" t="s">
        <v>41</v>
      </c>
      <c r="F14" s="30">
        <f>'SWPA Charges by City'!N66*12</f>
        <v>5.46</v>
      </c>
      <c r="G14" s="7"/>
      <c r="H14" s="10">
        <f>+ROUND(D14*F14,0)</f>
        <v>2184</v>
      </c>
      <c r="J14" s="2">
        <f>[1]IOLA!$H$14</f>
        <v>3240</v>
      </c>
      <c r="L14" s="10">
        <f>-H14+J14</f>
        <v>1056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City'!B14</f>
        <v>1300</v>
      </c>
      <c r="E17" s="2" t="s">
        <v>41</v>
      </c>
      <c r="F17" s="84">
        <f>AUG!F17</f>
        <v>0.13439999999999999</v>
      </c>
      <c r="G17" s="7"/>
      <c r="H17" s="2">
        <f>D17*F17</f>
        <v>174.72</v>
      </c>
      <c r="J17" s="50">
        <f>[1]IOLA!$H$17</f>
        <v>201.6</v>
      </c>
      <c r="L17" s="10">
        <f>-H17+J17</f>
        <v>26.879999999999995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1300</v>
      </c>
      <c r="E20" s="2" t="s">
        <v>41</v>
      </c>
      <c r="F20" s="84">
        <f>F17</f>
        <v>0.13439999999999999</v>
      </c>
      <c r="G20" s="7"/>
      <c r="H20" s="2">
        <f>D20*F20</f>
        <v>174.72</v>
      </c>
      <c r="J20" s="50">
        <f>[1]IOLA!$H$20</f>
        <v>201.6</v>
      </c>
      <c r="L20" s="10">
        <f>-H20+J20</f>
        <v>26.879999999999995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City'!N94/1000</f>
        <v>1560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27157</v>
      </c>
      <c r="J23" s="2">
        <f>[1]IOLA!$H$23</f>
        <v>31335</v>
      </c>
      <c r="L23" s="10">
        <f>-H23+J23</f>
        <v>4178</v>
      </c>
    </row>
    <row r="24" spans="2:12" ht="15.95" customHeight="1" x14ac:dyDescent="0.2">
      <c r="C24" s="2" t="s">
        <v>85</v>
      </c>
      <c r="D24" s="2">
        <f>'SWPA Charges by City'!N153/1000</f>
        <v>1135</v>
      </c>
      <c r="E24" s="2" t="s">
        <v>44</v>
      </c>
      <c r="F24" s="20">
        <f>'SWPA Charges by City'!N165</f>
        <v>9.5</v>
      </c>
      <c r="G24" s="7"/>
      <c r="H24" s="2">
        <f>+ROUND(D24*F24,0)</f>
        <v>10783</v>
      </c>
      <c r="J24" s="2">
        <f>[1]IOLA!$H$24</f>
        <v>9357</v>
      </c>
      <c r="L24" s="10">
        <f>-H24+J24</f>
        <v>-1426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480</v>
      </c>
      <c r="E26" s="2" t="s">
        <v>44</v>
      </c>
      <c r="F26" s="30">
        <f>F23/10</f>
        <v>1.7408299999999997</v>
      </c>
      <c r="G26" s="7"/>
      <c r="H26" s="10">
        <f>+ROUND(D26*F26,0)</f>
        <v>836</v>
      </c>
      <c r="J26" s="2">
        <f>[1]IOLA!$H$26</f>
        <v>1253</v>
      </c>
      <c r="L26" s="10">
        <f>-H26+J26</f>
        <v>417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City'!B54/'SWPA Charges by City'!B14)*('SWPA Charges by City'!N153/1000)</f>
        <v>349.23076923076923</v>
      </c>
      <c r="E28" s="2" t="s">
        <v>44</v>
      </c>
      <c r="F28" s="30">
        <f>F24/10</f>
        <v>0.95</v>
      </c>
      <c r="G28" s="7"/>
      <c r="H28" s="10">
        <f>+ROUND(D28*F28,0)</f>
        <v>332</v>
      </c>
      <c r="J28" s="2">
        <f>[1]IOLA!$H$28</f>
        <v>374</v>
      </c>
      <c r="L28" s="10">
        <f>-H28+J28</f>
        <v>42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G30" s="7"/>
    </row>
    <row r="31" spans="2:12" ht="12.95" customHeight="1" x14ac:dyDescent="0.2">
      <c r="C31" s="2" t="s">
        <v>77</v>
      </c>
      <c r="G31" s="7"/>
      <c r="H31" s="10">
        <f>'SWPA Charges by City'!N212</f>
        <v>355.33333333333326</v>
      </c>
      <c r="J31" s="2">
        <f>[1]IOLA!$H$31</f>
        <v>401.08695652173907</v>
      </c>
      <c r="L31" s="10">
        <f>-H31+J31</f>
        <v>45.753623188405811</v>
      </c>
    </row>
    <row r="32" spans="2:12" ht="14.1" customHeight="1" x14ac:dyDescent="0.2">
      <c r="G32" s="7"/>
    </row>
    <row r="33" spans="2:12" ht="12.95" customHeight="1" x14ac:dyDescent="0.2">
      <c r="B33" s="2" t="s">
        <v>125</v>
      </c>
      <c r="D33" s="87">
        <f>AUG!D33</f>
        <v>62822</v>
      </c>
      <c r="E33" s="2" t="s">
        <v>124</v>
      </c>
      <c r="F33" s="86">
        <f>'SWPA Charges by City'!O94</f>
        <v>0.13978494623655913</v>
      </c>
      <c r="G33" s="7"/>
      <c r="H33" s="50">
        <f>D33*F33</f>
        <v>8781.5698924731169</v>
      </c>
      <c r="J33" s="2">
        <f>[1]IOLA!$H$33</f>
        <v>10084.573146242989</v>
      </c>
      <c r="L33" s="10">
        <f>-H33+J33</f>
        <v>1303.0032537698717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121758.34322580644</v>
      </c>
      <c r="J35" s="14">
        <f>+SUM(J13:J34)</f>
        <v>137447.86010276474</v>
      </c>
      <c r="L35" s="14">
        <f>-H35+J35</f>
        <v>15689.516876958296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5.95" customHeight="1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50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5703125" style="2" bestFit="1" customWidth="1"/>
    <col min="9" max="9" width="1.7109375" style="2" customWidth="1"/>
    <col min="10" max="10" width="8.28515625" style="2" customWidth="1"/>
    <col min="11" max="11" width="2.7109375" style="2" customWidth="1"/>
    <col min="12" max="12" width="9.140625" style="2" bestFit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50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City'!N36</f>
        <v>21840</v>
      </c>
      <c r="I13" s="10"/>
      <c r="J13" s="9">
        <f>[1]MULV!$H$13</f>
        <v>32400</v>
      </c>
      <c r="L13" s="9">
        <f>-H13+J13</f>
        <v>10560</v>
      </c>
    </row>
    <row r="14" spans="1:12" ht="14.1" customHeight="1" x14ac:dyDescent="0.2">
      <c r="B14" s="6"/>
      <c r="C14" s="26" t="s">
        <v>40</v>
      </c>
      <c r="D14" s="35">
        <f>'SWPA Charges by City'!B55</f>
        <v>100</v>
      </c>
      <c r="E14" s="2" t="s">
        <v>41</v>
      </c>
      <c r="F14" s="30">
        <f>'SWPA Charges by City'!N66*12</f>
        <v>5.46</v>
      </c>
      <c r="G14" s="7"/>
      <c r="H14" s="10">
        <f>+ROUND(D14*F14,0)</f>
        <v>546</v>
      </c>
      <c r="J14" s="2">
        <f>[1]MULV!$H$14</f>
        <v>1620</v>
      </c>
      <c r="L14" s="10">
        <f>-H14+J14</f>
        <v>1074</v>
      </c>
    </row>
    <row r="15" spans="1:12" ht="14.25" customHeight="1" x14ac:dyDescent="0.2">
      <c r="G15" s="7"/>
    </row>
    <row r="16" spans="1:12" ht="14.25" customHeight="1" x14ac:dyDescent="0.2">
      <c r="C16" s="2" t="s">
        <v>122</v>
      </c>
      <c r="G16" s="7"/>
      <c r="J16" s="50"/>
    </row>
    <row r="17" spans="2:12" ht="14.25" customHeight="1" x14ac:dyDescent="0.2">
      <c r="D17" s="2">
        <f>'SWPA Charges by City'!B15</f>
        <v>400</v>
      </c>
      <c r="E17" s="2" t="s">
        <v>41</v>
      </c>
      <c r="F17" s="84">
        <f>AUG!F17</f>
        <v>0.13439999999999999</v>
      </c>
      <c r="G17" s="7"/>
      <c r="H17" s="2">
        <f>D17*F17</f>
        <v>53.76</v>
      </c>
      <c r="J17" s="50">
        <f>[1]MULV!$H$17</f>
        <v>80.64</v>
      </c>
      <c r="L17" s="10">
        <f>-H17+J17</f>
        <v>26.880000000000003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400</v>
      </c>
      <c r="E20" s="2" t="s">
        <v>41</v>
      </c>
      <c r="F20" s="84">
        <f>F17</f>
        <v>0.13439999999999999</v>
      </c>
      <c r="G20" s="7"/>
      <c r="H20" s="2">
        <f>D20*F20</f>
        <v>53.76</v>
      </c>
      <c r="J20" s="50">
        <f>[1]MULV!$H$20</f>
        <v>80.64</v>
      </c>
      <c r="L20" s="10">
        <f>-H20+J20</f>
        <v>26.880000000000003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City'!N95/1000</f>
        <v>600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10445</v>
      </c>
      <c r="J23" s="2">
        <f>[1]MULV!$H$23</f>
        <v>12534</v>
      </c>
      <c r="L23" s="10">
        <f>-H23+J23</f>
        <v>2089</v>
      </c>
    </row>
    <row r="24" spans="2:12" ht="15.95" customHeight="1" x14ac:dyDescent="0.2">
      <c r="C24" s="2" t="s">
        <v>85</v>
      </c>
      <c r="D24" s="2">
        <f>'SWPA Charges by City'!N154/1000</f>
        <v>478</v>
      </c>
      <c r="E24" s="2" t="s">
        <v>44</v>
      </c>
      <c r="F24" s="20">
        <f>'SWPA Charges by City'!N165</f>
        <v>9.5</v>
      </c>
      <c r="G24" s="7"/>
      <c r="H24" s="2">
        <f>+ROUND(D24*F24,0)</f>
        <v>4541</v>
      </c>
      <c r="J24" s="2">
        <f>[1]MULV!$H$24</f>
        <v>3952</v>
      </c>
      <c r="L24" s="10">
        <f>-H24+J24</f>
        <v>-589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120</v>
      </c>
      <c r="E26" s="2" t="s">
        <v>44</v>
      </c>
      <c r="F26" s="30">
        <f>F23/10</f>
        <v>1.7408299999999997</v>
      </c>
      <c r="G26" s="7"/>
      <c r="H26" s="10">
        <f>+ROUND(D26*F26,0)</f>
        <v>209</v>
      </c>
      <c r="J26" s="2">
        <f>[1]MULV!$H$26</f>
        <v>627</v>
      </c>
      <c r="L26" s="10">
        <f>-H26+J26</f>
        <v>418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City'!B55/'SWPA Charges by City'!B15)*('SWPA Charges by City'!N154/1000)</f>
        <v>119.5</v>
      </c>
      <c r="E28" s="2" t="s">
        <v>44</v>
      </c>
      <c r="F28" s="30">
        <f>F24/10</f>
        <v>0.95</v>
      </c>
      <c r="G28" s="7"/>
      <c r="H28" s="10">
        <f>+ROUND(D28*F28,0)</f>
        <v>114</v>
      </c>
      <c r="J28" s="2">
        <f>[1]MULV!$H$28</f>
        <v>198</v>
      </c>
      <c r="L28" s="10">
        <f>-H28+J28</f>
        <v>84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G30" s="7"/>
    </row>
    <row r="31" spans="2:12" ht="12.95" customHeight="1" x14ac:dyDescent="0.2">
      <c r="C31" s="2" t="s">
        <v>77</v>
      </c>
      <c r="G31" s="7"/>
      <c r="H31" s="10">
        <f>'SWPA Charges by City'!N213</f>
        <v>109.33333333333336</v>
      </c>
      <c r="J31" s="2">
        <f>[1]MULV!$H$31</f>
        <v>160.43478260869571</v>
      </c>
      <c r="L31" s="10">
        <f>-H31+J31</f>
        <v>51.101449275362356</v>
      </c>
    </row>
    <row r="32" spans="2:12" ht="14.1" customHeight="1" x14ac:dyDescent="0.2">
      <c r="G32" s="7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City'!O95</f>
        <v>5.3763440860215055E-2</v>
      </c>
      <c r="G33" s="7"/>
      <c r="H33" s="50">
        <f>D33*F33</f>
        <v>3377.5268817204301</v>
      </c>
      <c r="J33" s="2">
        <f>[1]MULV!$H$33</f>
        <v>4033.829258497195</v>
      </c>
      <c r="L33" s="10">
        <f>-H33+J33</f>
        <v>656.30237677676496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41289.380215053759</v>
      </c>
      <c r="J35" s="14">
        <f>+SUM(J13:J34)</f>
        <v>55686.544041105888</v>
      </c>
      <c r="L35" s="14">
        <f>-H35+J35</f>
        <v>14397.163826052129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43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8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51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City'!N37</f>
        <v>27300</v>
      </c>
      <c r="I13" s="10"/>
      <c r="J13" s="9">
        <f>[1]NEO!$H$13</f>
        <v>32400</v>
      </c>
      <c r="L13" s="9">
        <f>-H13+J13</f>
        <v>5100</v>
      </c>
    </row>
    <row r="14" spans="1:12" ht="14.1" customHeight="1" x14ac:dyDescent="0.2">
      <c r="B14" s="6"/>
      <c r="C14" s="26" t="s">
        <v>40</v>
      </c>
      <c r="D14" s="35">
        <f>'SWPA Charges by City'!B56</f>
        <v>100</v>
      </c>
      <c r="E14" s="2" t="s">
        <v>41</v>
      </c>
      <c r="F14" s="30">
        <f>'SWPA Charges by City'!N66*12</f>
        <v>5.46</v>
      </c>
      <c r="G14" s="7"/>
      <c r="H14" s="10">
        <f>+ROUND(D14*F14,0)</f>
        <v>546</v>
      </c>
      <c r="J14" s="2">
        <f>[1]NEO!$H$14</f>
        <v>1080</v>
      </c>
      <c r="L14" s="10">
        <f>-H14+J14</f>
        <v>534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City'!B16</f>
        <v>500</v>
      </c>
      <c r="E17" s="2" t="s">
        <v>41</v>
      </c>
      <c r="F17" s="84">
        <f>AUG!F17</f>
        <v>0.13439999999999999</v>
      </c>
      <c r="G17" s="7"/>
      <c r="H17" s="2">
        <f>D17*F17</f>
        <v>67.2</v>
      </c>
      <c r="J17" s="50">
        <f>[1]NEO!$H$17</f>
        <v>80.64</v>
      </c>
      <c r="L17" s="10">
        <f>-H17+J17</f>
        <v>13.439999999999998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500</v>
      </c>
      <c r="E20" s="2" t="s">
        <v>41</v>
      </c>
      <c r="F20" s="84">
        <f>F17</f>
        <v>0.13439999999999999</v>
      </c>
      <c r="G20" s="7"/>
      <c r="H20" s="2">
        <f>D20*F20</f>
        <v>67.2</v>
      </c>
      <c r="J20" s="50">
        <f>[1]NEO!$H$20</f>
        <v>80.64</v>
      </c>
      <c r="L20" s="10">
        <f>-H20+J20</f>
        <v>13.439999999999998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City'!N96/1000</f>
        <v>600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10445</v>
      </c>
      <c r="J23" s="2">
        <f>[1]NEO!$H$23</f>
        <v>12534</v>
      </c>
      <c r="L23" s="10">
        <f>-H23+J23</f>
        <v>2089</v>
      </c>
    </row>
    <row r="24" spans="2:12" ht="15.95" customHeight="1" x14ac:dyDescent="0.2">
      <c r="C24" s="2" t="s">
        <v>85</v>
      </c>
      <c r="D24" s="2">
        <f>'SWPA Charges by City'!N155/1000</f>
        <v>464</v>
      </c>
      <c r="E24" s="2" t="s">
        <v>44</v>
      </c>
      <c r="F24" s="20">
        <f>'SWPA Charges by City'!N165</f>
        <v>9.5</v>
      </c>
      <c r="G24" s="7"/>
      <c r="H24" s="2">
        <f>+ROUND(D24*F24,0)</f>
        <v>4408</v>
      </c>
      <c r="J24" s="2">
        <f>[1]NEO!$H$24</f>
        <v>3855</v>
      </c>
      <c r="L24" s="10">
        <f>-H24+J24</f>
        <v>-553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120</v>
      </c>
      <c r="E26" s="2" t="s">
        <v>44</v>
      </c>
      <c r="F26" s="30">
        <f>F23/10</f>
        <v>1.7408299999999997</v>
      </c>
      <c r="G26" s="7"/>
      <c r="H26" s="10">
        <f>+ROUND(D26*F26,0)</f>
        <v>209</v>
      </c>
      <c r="J26" s="2">
        <f>[1]NEO!$H$26</f>
        <v>418</v>
      </c>
      <c r="L26" s="10">
        <f>-H26+J26</f>
        <v>209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City'!B56/'SWPA Charges by City'!B16)*('SWPA Charges by City'!N155/1000)</f>
        <v>92.800000000000011</v>
      </c>
      <c r="E28" s="2" t="s">
        <v>44</v>
      </c>
      <c r="F28" s="30">
        <f>F24/10</f>
        <v>0.95</v>
      </c>
      <c r="G28" s="7"/>
      <c r="H28" s="10">
        <f>+ROUND(D28*F28,0)</f>
        <v>88</v>
      </c>
      <c r="J28" s="2">
        <f>[1]NEO!$H$28</f>
        <v>128</v>
      </c>
      <c r="L28" s="10">
        <f>-H28+J28</f>
        <v>40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G30" s="7"/>
    </row>
    <row r="31" spans="2:12" ht="12.95" customHeight="1" x14ac:dyDescent="0.2">
      <c r="C31" s="2" t="s">
        <v>77</v>
      </c>
      <c r="G31" s="7"/>
      <c r="H31" s="10">
        <f>'SWPA Charges by City'!N214</f>
        <v>136.66666666666666</v>
      </c>
      <c r="J31" s="2">
        <f>[1]NEO!$H$31</f>
        <v>160.43478260869571</v>
      </c>
      <c r="L31" s="10">
        <f>-H31+J31</f>
        <v>23.768115942029056</v>
      </c>
    </row>
    <row r="32" spans="2:12" ht="14.1" customHeight="1" x14ac:dyDescent="0.2">
      <c r="G32" s="7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City'!O96</f>
        <v>5.3763440860215055E-2</v>
      </c>
      <c r="G33" s="7"/>
      <c r="H33" s="50">
        <f>D33*F33</f>
        <v>3377.5268817204301</v>
      </c>
      <c r="J33" s="2">
        <f>[1]NEO!$H$33</f>
        <v>4033.829258497195</v>
      </c>
      <c r="L33" s="10">
        <f>-H33+J33</f>
        <v>656.30237677676496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46644.593548387093</v>
      </c>
      <c r="J35" s="14">
        <f>+SUM(J13:J34)</f>
        <v>54770.544041105888</v>
      </c>
      <c r="L35" s="14">
        <f>-H35+J35</f>
        <v>8125.9504927187954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2" x14ac:dyDescent="0.2"/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11.42578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9.710937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12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155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12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12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1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11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13"/>
      <c r="J10" s="5" t="s">
        <v>24</v>
      </c>
      <c r="K10" s="11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City'!N38</f>
        <v>10920</v>
      </c>
      <c r="I13" s="10"/>
      <c r="J13" s="9">
        <f>[1]OBE!$H$13</f>
        <v>10800</v>
      </c>
      <c r="L13" s="9">
        <f>-H13+J13</f>
        <v>-120</v>
      </c>
    </row>
    <row r="14" spans="1:12" ht="14.1" customHeight="1" x14ac:dyDescent="0.2">
      <c r="B14" s="6"/>
      <c r="C14" s="26" t="s">
        <v>40</v>
      </c>
      <c r="D14" s="35">
        <f>'SWPA Charges by City'!B57</f>
        <v>0</v>
      </c>
      <c r="E14" s="2" t="s">
        <v>41</v>
      </c>
      <c r="F14" s="30">
        <f>'SWPA Charges by City'!N66*12</f>
        <v>5.46</v>
      </c>
      <c r="G14" s="7"/>
      <c r="H14" s="10">
        <f>+ROUND(D14*F14,0)</f>
        <v>0</v>
      </c>
      <c r="J14" s="10">
        <f>[1]OBE!$H$14</f>
        <v>0</v>
      </c>
      <c r="L14" s="10">
        <f>-H14+J14</f>
        <v>0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City'!B17</f>
        <v>200</v>
      </c>
      <c r="E17" s="2" t="s">
        <v>41</v>
      </c>
      <c r="F17" s="84">
        <f>AUG!F17</f>
        <v>0.13439999999999999</v>
      </c>
      <c r="G17" s="7"/>
      <c r="H17" s="2">
        <f>D17*F17</f>
        <v>26.88</v>
      </c>
      <c r="J17" s="50">
        <f>[1]OBE!$H$17</f>
        <v>26.88</v>
      </c>
      <c r="L17" s="10">
        <f>-H17+J17</f>
        <v>0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200</v>
      </c>
      <c r="E20" s="2" t="s">
        <v>41</v>
      </c>
      <c r="F20" s="84">
        <f>F17</f>
        <v>0.13439999999999999</v>
      </c>
      <c r="G20" s="7"/>
      <c r="H20" s="2">
        <f>D20*F20</f>
        <v>26.88</v>
      </c>
      <c r="J20" s="50">
        <f>[1]OBE!$H$20</f>
        <v>26.88</v>
      </c>
      <c r="L20" s="10">
        <f>-H20+J20</f>
        <v>0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City'!N97/1000</f>
        <v>240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4178</v>
      </c>
      <c r="J23" s="10">
        <f>[1]OBE!$H$23</f>
        <v>3694</v>
      </c>
      <c r="L23" s="10">
        <f>-H23+J23</f>
        <v>-484</v>
      </c>
    </row>
    <row r="24" spans="2:12" ht="15.95" customHeight="1" x14ac:dyDescent="0.2">
      <c r="C24" s="2" t="s">
        <v>85</v>
      </c>
      <c r="D24" s="10">
        <f>'SWPA Charges by City'!N156/1000</f>
        <v>174.9</v>
      </c>
      <c r="E24" s="2" t="s">
        <v>44</v>
      </c>
      <c r="F24" s="20">
        <f>'SWPA Charges by City'!N165</f>
        <v>9.5</v>
      </c>
      <c r="G24" s="7"/>
      <c r="H24" s="2">
        <f>+ROUND(D24*F24,0)</f>
        <v>1662</v>
      </c>
      <c r="J24" s="10">
        <f>[1]OBE!$H$24</f>
        <v>1394</v>
      </c>
      <c r="L24" s="10">
        <f>-H24+J24</f>
        <v>-268</v>
      </c>
    </row>
    <row r="25" spans="2:12" ht="14.1" customHeight="1" x14ac:dyDescent="0.2">
      <c r="C25" s="2" t="s">
        <v>43</v>
      </c>
      <c r="G25" s="7"/>
      <c r="J25" s="10"/>
    </row>
    <row r="26" spans="2:12" ht="14.1" customHeight="1" x14ac:dyDescent="0.2">
      <c r="D26" s="117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10">
        <f>[1]OBE!$H$26</f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10"/>
      <c r="L27" s="10"/>
    </row>
    <row r="28" spans="2:12" ht="14.1" customHeight="1" x14ac:dyDescent="0.2">
      <c r="D28" s="117">
        <f>('SWPA Charges by City'!B57/'SWPA Charges by City'!B17)*('SWPA Charges by City'!N156/1000)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10">
        <f>[1]OBE!$H$28</f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10"/>
      <c r="L29" s="10"/>
    </row>
    <row r="30" spans="2:12" ht="12" customHeight="1" x14ac:dyDescent="0.2">
      <c r="B30" s="2" t="s">
        <v>80</v>
      </c>
      <c r="G30" s="7"/>
      <c r="J30" s="10"/>
    </row>
    <row r="31" spans="2:12" ht="12.95" customHeight="1" x14ac:dyDescent="0.2">
      <c r="C31" s="2" t="s">
        <v>77</v>
      </c>
      <c r="G31" s="7"/>
      <c r="H31" s="10">
        <f>'SWPA Charges by City'!N215</f>
        <v>54.666666666666679</v>
      </c>
      <c r="J31" s="10">
        <f>[1]OBE!$H$31</f>
        <v>53.478260869565226</v>
      </c>
      <c r="L31" s="10">
        <f>-H31+J31</f>
        <v>-1.1884057971014528</v>
      </c>
    </row>
    <row r="32" spans="2:12" ht="14.1" customHeight="1" x14ac:dyDescent="0.2">
      <c r="G32" s="7"/>
      <c r="J32" s="10"/>
    </row>
    <row r="33" spans="2:12" ht="12.95" customHeight="1" x14ac:dyDescent="0.2">
      <c r="B33" s="2" t="s">
        <v>125</v>
      </c>
      <c r="D33" s="87">
        <f>AUG!D33</f>
        <v>62822</v>
      </c>
      <c r="E33" s="2" t="s">
        <v>124</v>
      </c>
      <c r="F33" s="86">
        <f>'SWPA Charges by City'!O97</f>
        <v>2.1505376344086023E-2</v>
      </c>
      <c r="G33" s="7"/>
      <c r="H33" s="50">
        <f>D33*F33</f>
        <v>1351.0107526881723</v>
      </c>
      <c r="J33" s="10">
        <f>[1]OBE!$H$33</f>
        <v>1188.7890913713522</v>
      </c>
      <c r="L33" s="10">
        <f>-H33+J33</f>
        <v>-162.22166131682002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18219.437419354839</v>
      </c>
      <c r="J35" s="14">
        <f>+SUM(J13:J34)</f>
        <v>17184.027352240915</v>
      </c>
      <c r="L35" s="14">
        <f>-H35+J35</f>
        <v>-1035.410067113924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5.95" customHeight="1" x14ac:dyDescent="0.2">
      <c r="G39" s="7"/>
    </row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48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11.42578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8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52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City'!N39</f>
        <v>21840</v>
      </c>
      <c r="I13" s="10"/>
      <c r="J13" s="9">
        <f>[1]OSAW!$H$13</f>
        <v>21600</v>
      </c>
      <c r="L13" s="9">
        <f>-H13+J13</f>
        <v>-240</v>
      </c>
    </row>
    <row r="14" spans="1:12" ht="14.1" customHeight="1" x14ac:dyDescent="0.2">
      <c r="B14" s="6"/>
      <c r="C14" s="26" t="s">
        <v>40</v>
      </c>
      <c r="D14" s="35">
        <f>'SWPA Charges by City'!B58</f>
        <v>100</v>
      </c>
      <c r="E14" s="2" t="s">
        <v>41</v>
      </c>
      <c r="F14" s="30">
        <f>'SWPA Charges by City'!N66*12</f>
        <v>5.46</v>
      </c>
      <c r="G14" s="7"/>
      <c r="H14" s="10">
        <f>+ROUND(D14*F14,0)</f>
        <v>546</v>
      </c>
      <c r="J14" s="2">
        <f>[1]OSAW!$H$14</f>
        <v>540</v>
      </c>
      <c r="L14" s="10">
        <f>-H14+J14</f>
        <v>-6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City'!B18</f>
        <v>400</v>
      </c>
      <c r="E17" s="2" t="s">
        <v>41</v>
      </c>
      <c r="F17" s="84">
        <f>AUG!F17</f>
        <v>0.13439999999999999</v>
      </c>
      <c r="G17" s="7"/>
      <c r="H17" s="2">
        <f>D17*F17</f>
        <v>53.76</v>
      </c>
      <c r="J17" s="50">
        <f>[1]OSAW!$H$17</f>
        <v>53.76</v>
      </c>
      <c r="L17" s="10">
        <f>-H17+J17</f>
        <v>0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400</v>
      </c>
      <c r="E20" s="2" t="s">
        <v>41</v>
      </c>
      <c r="F20" s="84">
        <f>F17</f>
        <v>0.13439999999999999</v>
      </c>
      <c r="G20" s="7"/>
      <c r="H20" s="2">
        <f>D20*F20</f>
        <v>53.76</v>
      </c>
      <c r="J20" s="50">
        <f>[1]OSAW!$H$20</f>
        <v>53.76</v>
      </c>
      <c r="L20" s="10">
        <f>-H20+J20</f>
        <v>0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City'!N98/1000</f>
        <v>480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8356</v>
      </c>
      <c r="J23" s="2">
        <f>[1]OSAW!$H$23</f>
        <v>8967</v>
      </c>
      <c r="L23" s="10">
        <f>-H23+J23</f>
        <v>611</v>
      </c>
    </row>
    <row r="24" spans="2:12" ht="15.95" customHeight="1" x14ac:dyDescent="0.2">
      <c r="C24" s="2" t="s">
        <v>85</v>
      </c>
      <c r="D24" s="2">
        <f>'SWPA Charges by City'!N157/1000</f>
        <v>349.8</v>
      </c>
      <c r="E24" s="2" t="s">
        <v>44</v>
      </c>
      <c r="F24" s="20">
        <f>'SWPA Charges by City'!N165</f>
        <v>9.5</v>
      </c>
      <c r="G24" s="7"/>
      <c r="H24" s="2">
        <f>+ROUND(D24*F24,0)</f>
        <v>3323</v>
      </c>
      <c r="J24" s="2">
        <f>[1]OSAW!$H$24</f>
        <v>2788</v>
      </c>
      <c r="L24" s="10">
        <f>-H24+J24</f>
        <v>-535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120</v>
      </c>
      <c r="E26" s="2" t="s">
        <v>44</v>
      </c>
      <c r="F26" s="30">
        <f>F23/10</f>
        <v>1.7408299999999997</v>
      </c>
      <c r="G26" s="7"/>
      <c r="H26" s="10">
        <f>+ROUND(D26*F26,0)</f>
        <v>209</v>
      </c>
      <c r="J26" s="2">
        <f>[1]OSAW!$H$26</f>
        <v>209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City'!B58/'SWPA Charges by City'!B18)*('SWPA Charges by City'!N157/1000)</f>
        <v>87.45</v>
      </c>
      <c r="E28" s="2" t="s">
        <v>44</v>
      </c>
      <c r="F28" s="30">
        <f>F24/10</f>
        <v>0.95</v>
      </c>
      <c r="G28" s="7"/>
      <c r="H28" s="10">
        <f>+ROUND(D28*F28,0)</f>
        <v>83</v>
      </c>
      <c r="J28" s="2">
        <f>[1]OSAW!$H$28</f>
        <v>70</v>
      </c>
      <c r="L28" s="10">
        <f>-H28+J28</f>
        <v>-13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G30" s="7"/>
    </row>
    <row r="31" spans="2:12" ht="12.95" customHeight="1" x14ac:dyDescent="0.2">
      <c r="C31" s="2" t="s">
        <v>77</v>
      </c>
      <c r="G31" s="7"/>
      <c r="H31" s="10">
        <f>'SWPA Charges by City'!N216</f>
        <v>109.33333333333336</v>
      </c>
      <c r="J31" s="2">
        <f>[1]OSAW!$H$31</f>
        <v>106.95652173913045</v>
      </c>
      <c r="L31" s="10">
        <f>-H31+J31</f>
        <v>-2.3768115942029056</v>
      </c>
    </row>
    <row r="32" spans="2:12" ht="14.1" customHeight="1" x14ac:dyDescent="0.2">
      <c r="G32" s="7"/>
    </row>
    <row r="33" spans="2:12" ht="12.95" customHeight="1" x14ac:dyDescent="0.2">
      <c r="B33" s="2" t="s">
        <v>125</v>
      </c>
      <c r="D33" s="87">
        <f>AUG!D33</f>
        <v>62822</v>
      </c>
      <c r="E33" s="2" t="s">
        <v>124</v>
      </c>
      <c r="F33" s="86">
        <f>'SWPA Charges by City'!O98</f>
        <v>4.3010752688172046E-2</v>
      </c>
      <c r="G33" s="7"/>
      <c r="H33" s="50">
        <f>D33*F33</f>
        <v>2702.0215053763445</v>
      </c>
      <c r="J33" s="2">
        <f>[1]OSAW!$H$33</f>
        <v>2885.8686820165349</v>
      </c>
      <c r="L33" s="10">
        <f>-H33+J33</f>
        <v>183.84717664019036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37275.874838709678</v>
      </c>
      <c r="J35" s="14">
        <f>+SUM(J13:J34)</f>
        <v>37274.345203755656</v>
      </c>
      <c r="L35" s="14">
        <f>-H35+J35</f>
        <v>-1.5296349540221854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5.95" customHeight="1" x14ac:dyDescent="0.2">
      <c r="G39" s="7"/>
    </row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145"/>
  <sheetViews>
    <sheetView workbookViewId="0">
      <selection activeCell="H13" sqref="H13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8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53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City'!N40</f>
        <v>54600</v>
      </c>
      <c r="I13" s="10"/>
      <c r="J13" s="9">
        <f>[1]OTT!$H$13</f>
        <v>54000</v>
      </c>
      <c r="L13" s="9">
        <f>-H13+J13</f>
        <v>-600</v>
      </c>
    </row>
    <row r="14" spans="1:12" ht="14.1" customHeight="1" x14ac:dyDescent="0.2">
      <c r="B14" s="6"/>
      <c r="C14" s="26" t="s">
        <v>40</v>
      </c>
      <c r="D14" s="35">
        <f>'SWPA Charges by City'!B59</f>
        <v>100</v>
      </c>
      <c r="E14" s="2" t="s">
        <v>41</v>
      </c>
      <c r="F14" s="30">
        <f>'SWPA Charges by City'!N66*12</f>
        <v>5.46</v>
      </c>
      <c r="G14" s="7"/>
      <c r="H14" s="10">
        <f>+ROUND(D14*F14,0)</f>
        <v>546</v>
      </c>
      <c r="J14" s="2">
        <f>[1]OTT!$H$14</f>
        <v>540</v>
      </c>
      <c r="L14" s="10">
        <f>-H14+J14</f>
        <v>-6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City'!B19</f>
        <v>1000</v>
      </c>
      <c r="E17" s="2" t="s">
        <v>41</v>
      </c>
      <c r="F17" s="84">
        <f>AUG!F17</f>
        <v>0.13439999999999999</v>
      </c>
      <c r="G17" s="7"/>
      <c r="H17" s="2">
        <f>D17*F17</f>
        <v>134.4</v>
      </c>
      <c r="J17" s="50">
        <f>[1]OTT!$H$17</f>
        <v>134.4</v>
      </c>
      <c r="L17" s="10">
        <f>-H17+J17</f>
        <v>0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1000</v>
      </c>
      <c r="E20" s="2" t="s">
        <v>41</v>
      </c>
      <c r="F20" s="84">
        <f>F17</f>
        <v>0.13439999999999999</v>
      </c>
      <c r="G20" s="7"/>
      <c r="H20" s="2">
        <f>D20*F20</f>
        <v>134.4</v>
      </c>
      <c r="J20" s="50">
        <f>[1]OTT!$H$20</f>
        <v>134.4</v>
      </c>
      <c r="L20" s="10">
        <f>-H20+J20</f>
        <v>0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City'!N99/1000</f>
        <v>1200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20890</v>
      </c>
      <c r="J23" s="2">
        <f>[1]OTT!$H$23</f>
        <v>19062</v>
      </c>
      <c r="L23" s="10">
        <f>-H23+J23</f>
        <v>-1828</v>
      </c>
    </row>
    <row r="24" spans="2:12" ht="15.95" customHeight="1" x14ac:dyDescent="0.2">
      <c r="C24" s="2" t="s">
        <v>85</v>
      </c>
      <c r="D24" s="2">
        <f>'SWPA Charges by City'!N158/1000</f>
        <v>811.75</v>
      </c>
      <c r="E24" s="2" t="s">
        <v>44</v>
      </c>
      <c r="F24" s="20">
        <f>'SWPA Charges by City'!N165</f>
        <v>9.5</v>
      </c>
      <c r="G24" s="7"/>
      <c r="H24" s="2">
        <f>+ROUND(D24*F24,0)</f>
        <v>7712</v>
      </c>
      <c r="J24" s="2">
        <f>[1]OTT!$H$24</f>
        <v>5577</v>
      </c>
      <c r="L24" s="10">
        <f>-H24+J24</f>
        <v>-2135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120</v>
      </c>
      <c r="E26" s="2" t="s">
        <v>44</v>
      </c>
      <c r="F26" s="30">
        <f>F23/10</f>
        <v>1.7408299999999997</v>
      </c>
      <c r="G26" s="7"/>
      <c r="H26" s="10">
        <f>+ROUND(D26*F26,0)</f>
        <v>209</v>
      </c>
      <c r="J26" s="2">
        <f>[1]OTT!$H$26</f>
        <v>209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City'!B59/'SWPA Charges by City'!B19)*('SWPA Charges by City'!N158/1000)</f>
        <v>81.175000000000011</v>
      </c>
      <c r="E28" s="2" t="s">
        <v>44</v>
      </c>
      <c r="F28" s="30">
        <f>F24/10</f>
        <v>0.95</v>
      </c>
      <c r="G28" s="7"/>
      <c r="H28" s="10">
        <f>+ROUND(D28*F28,0)</f>
        <v>77</v>
      </c>
      <c r="J28" s="2">
        <f>[1]OTT!$H$28</f>
        <v>56</v>
      </c>
      <c r="L28" s="10">
        <f>-H28+J28</f>
        <v>-21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G30" s="7"/>
    </row>
    <row r="31" spans="2:12" ht="12.95" customHeight="1" x14ac:dyDescent="0.2">
      <c r="C31" s="2" t="s">
        <v>77</v>
      </c>
      <c r="G31" s="7"/>
      <c r="H31" s="10">
        <f>'SWPA Charges by City'!N217</f>
        <v>273.33333333333331</v>
      </c>
      <c r="J31" s="2">
        <f>[1]OTT!$H$31</f>
        <v>267.39130434782612</v>
      </c>
      <c r="L31" s="10">
        <f>-H31+J31</f>
        <v>-5.9420289855071928</v>
      </c>
    </row>
    <row r="32" spans="2:12" ht="14.1" customHeight="1" x14ac:dyDescent="0.2">
      <c r="G32" s="7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City'!O99</f>
        <v>0.10752688172043011</v>
      </c>
      <c r="G33" s="7"/>
      <c r="H33" s="50">
        <f>D33*F33</f>
        <v>6755.0537634408602</v>
      </c>
      <c r="J33" s="2">
        <f>[1]OTT!$H$33</f>
        <v>6134.7819972978177</v>
      </c>
      <c r="L33" s="10">
        <f>-H33+J33</f>
        <v>-620.27176614304244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91331.187096774185</v>
      </c>
      <c r="J35" s="14">
        <f>+SUM(J13:J34)</f>
        <v>86114.973301645645</v>
      </c>
      <c r="L35" s="14">
        <f>-H35+J35</f>
        <v>-5216.2137951285404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9.710937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18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181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18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18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19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119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19"/>
      <c r="J10" s="5" t="s">
        <v>24</v>
      </c>
      <c r="K10" s="119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City'!N41</f>
        <v>5460</v>
      </c>
      <c r="I13" s="10"/>
      <c r="J13" s="9">
        <v>0</v>
      </c>
      <c r="L13" s="9">
        <f>-H13+J13</f>
        <v>-5460</v>
      </c>
    </row>
    <row r="14" spans="1:12" ht="14.1" customHeight="1" x14ac:dyDescent="0.2">
      <c r="B14" s="6"/>
      <c r="C14" s="26" t="s">
        <v>40</v>
      </c>
      <c r="D14" s="35">
        <f>'SWPA Charges by City'!B60</f>
        <v>0</v>
      </c>
      <c r="E14" s="2" t="s">
        <v>41</v>
      </c>
      <c r="F14" s="30">
        <f>'SWPA Charges by City'!N66*12</f>
        <v>5.46</v>
      </c>
      <c r="G14" s="7"/>
      <c r="H14" s="10">
        <f>+ROUND(D14*F14,0)</f>
        <v>0</v>
      </c>
      <c r="J14" s="10">
        <v>0</v>
      </c>
      <c r="L14" s="10">
        <f>-H14+J14</f>
        <v>0</v>
      </c>
    </row>
    <row r="15" spans="1:12" ht="14.1" customHeight="1" x14ac:dyDescent="0.2">
      <c r="G15" s="7"/>
      <c r="J15" s="10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City'!B20</f>
        <v>100</v>
      </c>
      <c r="E17" s="2" t="s">
        <v>41</v>
      </c>
      <c r="F17" s="84">
        <f>AUG!F17</f>
        <v>0.13439999999999999</v>
      </c>
      <c r="G17" s="7"/>
      <c r="H17" s="2">
        <f>D17*F17</f>
        <v>13.44</v>
      </c>
      <c r="J17" s="50">
        <v>0</v>
      </c>
      <c r="L17" s="10">
        <f>-H17+J17</f>
        <v>-13.44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100</v>
      </c>
      <c r="E20" s="2" t="s">
        <v>41</v>
      </c>
      <c r="F20" s="84">
        <f>F17</f>
        <v>0.13439999999999999</v>
      </c>
      <c r="G20" s="7"/>
      <c r="H20" s="2">
        <f>D20*F20</f>
        <v>13.44</v>
      </c>
      <c r="J20" s="50">
        <v>0</v>
      </c>
      <c r="L20" s="10">
        <f>-H20+J20</f>
        <v>-13.44</v>
      </c>
    </row>
    <row r="21" spans="2:12" ht="14.1" customHeight="1" x14ac:dyDescent="0.2">
      <c r="G21" s="7"/>
      <c r="J21" s="10"/>
    </row>
    <row r="22" spans="2:12" ht="15.95" customHeight="1" x14ac:dyDescent="0.2">
      <c r="B22" s="2" t="s">
        <v>42</v>
      </c>
      <c r="G22" s="7"/>
      <c r="J22" s="10"/>
    </row>
    <row r="23" spans="2:12" ht="15.95" customHeight="1" x14ac:dyDescent="0.2">
      <c r="C23" s="2" t="s">
        <v>86</v>
      </c>
      <c r="D23" s="2">
        <f>'SWPA Charges by City'!N100/1000</f>
        <v>120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2089</v>
      </c>
      <c r="J23" s="10">
        <v>0</v>
      </c>
      <c r="L23" s="10">
        <f>-H23+J23</f>
        <v>-2089</v>
      </c>
    </row>
    <row r="24" spans="2:12" ht="15.95" customHeight="1" x14ac:dyDescent="0.2">
      <c r="C24" s="2" t="s">
        <v>85</v>
      </c>
      <c r="D24" s="2">
        <f>'SWPA Charges by City'!N159/1000</f>
        <v>112.15</v>
      </c>
      <c r="E24" s="2" t="s">
        <v>44</v>
      </c>
      <c r="F24" s="20">
        <f>'SWPA Charges by City'!N165</f>
        <v>9.5</v>
      </c>
      <c r="G24" s="7"/>
      <c r="H24" s="2">
        <f>+ROUND(D24*F24,0)</f>
        <v>1065</v>
      </c>
      <c r="J24" s="10">
        <v>0</v>
      </c>
      <c r="L24" s="10">
        <f>-H24+J24</f>
        <v>-1065</v>
      </c>
    </row>
    <row r="25" spans="2:12" ht="14.1" customHeight="1" x14ac:dyDescent="0.2">
      <c r="C25" s="2" t="s">
        <v>43</v>
      </c>
      <c r="G25" s="7"/>
      <c r="J25" s="10"/>
    </row>
    <row r="26" spans="2:12" ht="14.1" customHeight="1" x14ac:dyDescent="0.2">
      <c r="D26" s="2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10"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10"/>
      <c r="L27" s="10"/>
    </row>
    <row r="28" spans="2:12" ht="14.1" customHeight="1" x14ac:dyDescent="0.2">
      <c r="D28" s="2">
        <f>('SWPA Charges by City'!B60/'SWPA Charges by City'!B20)*('SWPA Charges by City'!N159/1000)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10"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10"/>
      <c r="L29" s="10"/>
    </row>
    <row r="30" spans="2:12" ht="12" customHeight="1" x14ac:dyDescent="0.2">
      <c r="B30" s="2" t="s">
        <v>80</v>
      </c>
      <c r="G30" s="7"/>
      <c r="J30" s="10"/>
    </row>
    <row r="31" spans="2:12" ht="12.95" customHeight="1" x14ac:dyDescent="0.2">
      <c r="C31" s="2" t="s">
        <v>77</v>
      </c>
      <c r="G31" s="7"/>
      <c r="H31" s="10">
        <f>'SWPA Charges by City'!N218</f>
        <v>27.333333333333339</v>
      </c>
      <c r="J31" s="10">
        <v>0</v>
      </c>
      <c r="L31" s="10">
        <f>-H31+J31</f>
        <v>-27.333333333333339</v>
      </c>
    </row>
    <row r="32" spans="2:12" ht="14.1" customHeight="1" x14ac:dyDescent="0.2">
      <c r="G32" s="7"/>
      <c r="J32" s="10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City'!O100</f>
        <v>1.0752688172043012E-2</v>
      </c>
      <c r="G33" s="7"/>
      <c r="H33" s="50">
        <f>D33*F33</f>
        <v>675.50537634408613</v>
      </c>
      <c r="J33" s="10">
        <v>0</v>
      </c>
      <c r="L33" s="10">
        <f>-H33+J33</f>
        <v>-675.50537634408613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9343.7187096774196</v>
      </c>
      <c r="J35" s="14">
        <f>+SUM(J13:J34)</f>
        <v>0</v>
      </c>
      <c r="L35" s="14">
        <f>-H35+J35</f>
        <v>-9343.7187096774196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9.710937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18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182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18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18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19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119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19"/>
      <c r="J10" s="5" t="s">
        <v>24</v>
      </c>
      <c r="K10" s="119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City'!N42</f>
        <v>5460</v>
      </c>
      <c r="I13" s="10"/>
      <c r="J13" s="9">
        <v>0</v>
      </c>
      <c r="L13" s="9">
        <f>-H13+J13</f>
        <v>-5460</v>
      </c>
    </row>
    <row r="14" spans="1:12" ht="14.1" customHeight="1" x14ac:dyDescent="0.2">
      <c r="B14" s="6"/>
      <c r="C14" s="26" t="s">
        <v>40</v>
      </c>
      <c r="D14" s="35">
        <f>'SWPA Charges by City'!B61</f>
        <v>0</v>
      </c>
      <c r="E14" s="2" t="s">
        <v>41</v>
      </c>
      <c r="F14" s="30">
        <f>'SWPA Charges by City'!N66*12</f>
        <v>5.46</v>
      </c>
      <c r="G14" s="7"/>
      <c r="H14" s="10">
        <f>+ROUND(D14*F14,0)</f>
        <v>0</v>
      </c>
      <c r="J14" s="10">
        <v>0</v>
      </c>
      <c r="L14" s="10">
        <f>-H14+J14</f>
        <v>0</v>
      </c>
    </row>
    <row r="15" spans="1:12" ht="14.1" customHeight="1" x14ac:dyDescent="0.2">
      <c r="G15" s="7"/>
      <c r="J15" s="10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City'!B21</f>
        <v>100</v>
      </c>
      <c r="E17" s="2" t="s">
        <v>41</v>
      </c>
      <c r="F17" s="84">
        <f>AUG!F17</f>
        <v>0.13439999999999999</v>
      </c>
      <c r="G17" s="7"/>
      <c r="H17" s="2">
        <f>D17*F17</f>
        <v>13.44</v>
      </c>
      <c r="J17" s="50">
        <v>0</v>
      </c>
      <c r="L17" s="10">
        <f>-H17+J17</f>
        <v>-13.44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100</v>
      </c>
      <c r="E20" s="2" t="s">
        <v>41</v>
      </c>
      <c r="F20" s="84">
        <f>F17</f>
        <v>0.13439999999999999</v>
      </c>
      <c r="G20" s="7"/>
      <c r="H20" s="2">
        <f>D20*F20</f>
        <v>13.44</v>
      </c>
      <c r="J20" s="50">
        <v>0</v>
      </c>
      <c r="L20" s="10">
        <f>-H20+J20</f>
        <v>-13.44</v>
      </c>
    </row>
    <row r="21" spans="2:12" ht="14.1" customHeight="1" x14ac:dyDescent="0.2">
      <c r="G21" s="7"/>
      <c r="J21" s="10"/>
    </row>
    <row r="22" spans="2:12" ht="15.95" customHeight="1" x14ac:dyDescent="0.2">
      <c r="B22" s="2" t="s">
        <v>42</v>
      </c>
      <c r="G22" s="7"/>
      <c r="J22" s="10"/>
    </row>
    <row r="23" spans="2:12" ht="15.95" customHeight="1" x14ac:dyDescent="0.2">
      <c r="C23" s="2" t="s">
        <v>86</v>
      </c>
      <c r="D23" s="2">
        <f>'SWPA Charges by City'!N101/1000</f>
        <v>120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2089</v>
      </c>
      <c r="J23" s="10">
        <v>0</v>
      </c>
      <c r="L23" s="10">
        <f>-H23+J23</f>
        <v>-2089</v>
      </c>
    </row>
    <row r="24" spans="2:12" ht="15.95" customHeight="1" x14ac:dyDescent="0.2">
      <c r="C24" s="2" t="s">
        <v>85</v>
      </c>
      <c r="D24" s="2">
        <f>'SWPA Charges by City'!N160/1000</f>
        <v>112.15</v>
      </c>
      <c r="E24" s="2" t="s">
        <v>44</v>
      </c>
      <c r="F24" s="20">
        <f>'SWPA Charges by City'!N165</f>
        <v>9.5</v>
      </c>
      <c r="G24" s="7"/>
      <c r="H24" s="2">
        <f>+ROUND(D24*F24,0)</f>
        <v>1065</v>
      </c>
      <c r="J24" s="10">
        <v>0</v>
      </c>
      <c r="L24" s="10">
        <f>-H24+J24</f>
        <v>-1065</v>
      </c>
    </row>
    <row r="25" spans="2:12" ht="14.1" customHeight="1" x14ac:dyDescent="0.2">
      <c r="C25" s="2" t="s">
        <v>43</v>
      </c>
      <c r="G25" s="7"/>
      <c r="J25" s="10"/>
    </row>
    <row r="26" spans="2:12" ht="14.1" customHeight="1" x14ac:dyDescent="0.2">
      <c r="D26" s="2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10"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10"/>
      <c r="L27" s="10"/>
    </row>
    <row r="28" spans="2:12" ht="14.1" customHeight="1" x14ac:dyDescent="0.2">
      <c r="D28" s="2">
        <f>('SWPA Charges by City'!B61/'SWPA Charges by City'!B21)*('SWPA Charges by City'!N160/1000)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10"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10"/>
      <c r="L29" s="10"/>
    </row>
    <row r="30" spans="2:12" ht="12" customHeight="1" x14ac:dyDescent="0.2">
      <c r="B30" s="2" t="s">
        <v>80</v>
      </c>
      <c r="G30" s="7"/>
      <c r="J30" s="10"/>
    </row>
    <row r="31" spans="2:12" ht="12.95" customHeight="1" x14ac:dyDescent="0.2">
      <c r="C31" s="2" t="s">
        <v>77</v>
      </c>
      <c r="G31" s="7"/>
      <c r="H31" s="10">
        <f>'SWPA Charges by City'!N219</f>
        <v>27.333333333333339</v>
      </c>
      <c r="J31" s="10">
        <v>0</v>
      </c>
      <c r="L31" s="10">
        <f>-H31+J31</f>
        <v>-27.333333333333339</v>
      </c>
    </row>
    <row r="32" spans="2:12" ht="14.1" customHeight="1" x14ac:dyDescent="0.2">
      <c r="G32" s="7"/>
      <c r="J32" s="10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City'!O101</f>
        <v>1.0752688172043012E-2</v>
      </c>
      <c r="G33" s="7"/>
      <c r="H33" s="50">
        <f>D33*F33</f>
        <v>675.50537634408613</v>
      </c>
      <c r="J33" s="10">
        <v>0</v>
      </c>
      <c r="L33" s="10">
        <f>-H33+J33</f>
        <v>-675.50537634408613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9343.7187096774196</v>
      </c>
      <c r="J35" s="14">
        <f>+SUM(J13:J34)</f>
        <v>0</v>
      </c>
      <c r="L35" s="14">
        <f>-H35+J35</f>
        <v>-9343.7187096774196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9.710937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18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183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18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18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19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119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19"/>
      <c r="J10" s="5" t="s">
        <v>24</v>
      </c>
      <c r="K10" s="119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City'!N43</f>
        <v>16380</v>
      </c>
      <c r="I13" s="10"/>
      <c r="J13" s="9">
        <v>0</v>
      </c>
      <c r="L13" s="9">
        <f>-H13+J13</f>
        <v>-16380</v>
      </c>
    </row>
    <row r="14" spans="1:12" ht="14.1" customHeight="1" x14ac:dyDescent="0.2">
      <c r="B14" s="6"/>
      <c r="C14" s="26" t="s">
        <v>40</v>
      </c>
      <c r="D14" s="35">
        <f>'SWPA Charges by City'!B62</f>
        <v>0</v>
      </c>
      <c r="E14" s="2" t="s">
        <v>41</v>
      </c>
      <c r="F14" s="30">
        <f>'SWPA Charges by City'!N66*12</f>
        <v>5.46</v>
      </c>
      <c r="G14" s="7"/>
      <c r="H14" s="10">
        <f>+ROUND(D14*F14,0)</f>
        <v>0</v>
      </c>
      <c r="J14" s="10">
        <v>0</v>
      </c>
      <c r="L14" s="10">
        <f>-H14+J14</f>
        <v>0</v>
      </c>
    </row>
    <row r="15" spans="1:12" ht="14.1" customHeight="1" x14ac:dyDescent="0.2">
      <c r="G15" s="7"/>
      <c r="J15" s="10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City'!B22</f>
        <v>300</v>
      </c>
      <c r="E17" s="2" t="s">
        <v>41</v>
      </c>
      <c r="F17" s="84">
        <f>AUG!F17</f>
        <v>0.13439999999999999</v>
      </c>
      <c r="G17" s="7"/>
      <c r="H17" s="2">
        <f>D17*F17</f>
        <v>40.32</v>
      </c>
      <c r="J17" s="50">
        <v>0</v>
      </c>
      <c r="L17" s="10">
        <f>-H17+J17</f>
        <v>-40.32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300</v>
      </c>
      <c r="E20" s="2" t="s">
        <v>41</v>
      </c>
      <c r="F20" s="84">
        <f>F17</f>
        <v>0.13439999999999999</v>
      </c>
      <c r="G20" s="7"/>
      <c r="H20" s="2">
        <f>D20*F20</f>
        <v>40.32</v>
      </c>
      <c r="J20" s="50">
        <v>0</v>
      </c>
      <c r="L20" s="10">
        <f>-H20+J20</f>
        <v>-40.32</v>
      </c>
    </row>
    <row r="21" spans="2:12" ht="14.1" customHeight="1" x14ac:dyDescent="0.2">
      <c r="G21" s="7"/>
      <c r="J21" s="10"/>
    </row>
    <row r="22" spans="2:12" ht="15.95" customHeight="1" x14ac:dyDescent="0.2">
      <c r="B22" s="2" t="s">
        <v>42</v>
      </c>
      <c r="G22" s="7"/>
      <c r="J22" s="10"/>
    </row>
    <row r="23" spans="2:12" ht="15.95" customHeight="1" x14ac:dyDescent="0.2">
      <c r="C23" s="2" t="s">
        <v>86</v>
      </c>
      <c r="D23" s="2">
        <f>'SWPA Charges by City'!N102/1000</f>
        <v>360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6267</v>
      </c>
      <c r="J23" s="10">
        <v>0</v>
      </c>
      <c r="L23" s="10">
        <f>-H23+J23</f>
        <v>-6267</v>
      </c>
    </row>
    <row r="24" spans="2:12" ht="15.95" customHeight="1" x14ac:dyDescent="0.2">
      <c r="C24" s="2" t="s">
        <v>85</v>
      </c>
      <c r="D24" s="2">
        <f>'SWPA Charges by City'!N161/1000</f>
        <v>336.45</v>
      </c>
      <c r="E24" s="2" t="s">
        <v>44</v>
      </c>
      <c r="F24" s="20">
        <f>'SWPA Charges by City'!N165</f>
        <v>9.5</v>
      </c>
      <c r="G24" s="7"/>
      <c r="H24" s="2">
        <f>+ROUND(D24*F24,0)</f>
        <v>3196</v>
      </c>
      <c r="J24" s="10">
        <v>0</v>
      </c>
      <c r="L24" s="10">
        <f>-H24+J24</f>
        <v>-3196</v>
      </c>
    </row>
    <row r="25" spans="2:12" ht="14.1" customHeight="1" x14ac:dyDescent="0.2">
      <c r="C25" s="2" t="s">
        <v>43</v>
      </c>
      <c r="G25" s="7"/>
      <c r="J25" s="10"/>
    </row>
    <row r="26" spans="2:12" ht="14.1" customHeight="1" x14ac:dyDescent="0.2">
      <c r="D26" s="2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10"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10"/>
      <c r="L27" s="10"/>
    </row>
    <row r="28" spans="2:12" ht="14.1" customHeight="1" x14ac:dyDescent="0.2">
      <c r="D28" s="2">
        <f>('SWPA Charges by City'!B62/'SWPA Charges by City'!B22)*('SWPA Charges by City'!N161/1000)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10"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10"/>
      <c r="L29" s="10"/>
    </row>
    <row r="30" spans="2:12" ht="12" customHeight="1" x14ac:dyDescent="0.2">
      <c r="B30" s="2" t="s">
        <v>80</v>
      </c>
      <c r="G30" s="7"/>
      <c r="J30" s="10"/>
    </row>
    <row r="31" spans="2:12" ht="12.95" customHeight="1" x14ac:dyDescent="0.2">
      <c r="C31" s="2" t="s">
        <v>77</v>
      </c>
      <c r="G31" s="7"/>
      <c r="H31" s="10">
        <f>'SWPA Charges by City'!N220</f>
        <v>82</v>
      </c>
      <c r="J31" s="10">
        <v>0</v>
      </c>
      <c r="L31" s="10">
        <f>-H31+J31</f>
        <v>-82</v>
      </c>
    </row>
    <row r="32" spans="2:12" ht="14.1" customHeight="1" x14ac:dyDescent="0.2">
      <c r="G32" s="7"/>
      <c r="J32" s="10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City'!O102</f>
        <v>3.2258064516129031E-2</v>
      </c>
      <c r="G33" s="7"/>
      <c r="H33" s="50">
        <f>D33*F33</f>
        <v>2026.516129032258</v>
      </c>
      <c r="J33" s="10">
        <v>0</v>
      </c>
      <c r="L33" s="10">
        <f>-H33+J33</f>
        <v>-2026.516129032258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28032.156129032257</v>
      </c>
      <c r="J35" s="14">
        <f>+SUM(J13:J34)</f>
        <v>0</v>
      </c>
      <c r="L35" s="14">
        <f>-H35+J35</f>
        <v>-28032.156129032257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50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9.5703125" style="2" customWidth="1"/>
    <col min="9" max="9" width="1.7109375" style="2" customWidth="1"/>
    <col min="10" max="10" width="9.5703125" style="2" customWidth="1"/>
    <col min="11" max="11" width="2.7109375" style="2" customWidth="1"/>
    <col min="12" max="12" width="9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54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City'!N44</f>
        <v>98280</v>
      </c>
      <c r="I13" s="10"/>
      <c r="J13" s="9">
        <f>[1]WELL!$H$13</f>
        <v>124200</v>
      </c>
      <c r="L13" s="9">
        <f>-H13+J13</f>
        <v>25920</v>
      </c>
    </row>
    <row r="14" spans="1:12" ht="14.1" customHeight="1" x14ac:dyDescent="0.2">
      <c r="B14" s="6"/>
      <c r="C14" s="26" t="s">
        <v>40</v>
      </c>
      <c r="D14" s="35">
        <f>'SWPA Charges by City'!B63</f>
        <v>700</v>
      </c>
      <c r="E14" s="2" t="s">
        <v>41</v>
      </c>
      <c r="F14" s="30">
        <f>'SWPA Charges by City'!N66*12</f>
        <v>5.46</v>
      </c>
      <c r="G14" s="7"/>
      <c r="H14" s="10">
        <f>+ROUND(D14*F14,0)</f>
        <v>3822</v>
      </c>
      <c r="J14" s="2">
        <f>[1]WELL!$H$14</f>
        <v>6480</v>
      </c>
      <c r="L14" s="10">
        <f>-H14+J14</f>
        <v>2658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City'!B23</f>
        <v>1800</v>
      </c>
      <c r="E17" s="2" t="s">
        <v>41</v>
      </c>
      <c r="F17" s="84">
        <f>AUG!F17</f>
        <v>0.13439999999999999</v>
      </c>
      <c r="G17" s="7"/>
      <c r="H17" s="2">
        <f>D17*F17</f>
        <v>241.92</v>
      </c>
      <c r="J17" s="50">
        <f>[1]WELL!$H$17</f>
        <v>309.12</v>
      </c>
      <c r="L17" s="10">
        <f>-H17+J17</f>
        <v>67.200000000000017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1800</v>
      </c>
      <c r="E20" s="2" t="s">
        <v>41</v>
      </c>
      <c r="F20" s="84">
        <f>F17</f>
        <v>0.13439999999999999</v>
      </c>
      <c r="G20" s="7"/>
      <c r="H20" s="2">
        <f>D20*F20</f>
        <v>241.92</v>
      </c>
      <c r="J20" s="50">
        <f>[1]WELL!$H$20</f>
        <v>309.12</v>
      </c>
      <c r="L20" s="10">
        <f>-H20+J20</f>
        <v>67.200000000000017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City'!N103/1000</f>
        <v>2280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39691</v>
      </c>
      <c r="J23" s="2">
        <f>[1]WELL!$H$23</f>
        <v>49422</v>
      </c>
      <c r="L23" s="10">
        <f>-H23+J23</f>
        <v>9731</v>
      </c>
    </row>
    <row r="24" spans="2:12" ht="15.95" customHeight="1" x14ac:dyDescent="0.2">
      <c r="C24" s="2" t="s">
        <v>85</v>
      </c>
      <c r="D24" s="2">
        <f>'SWPA Charges by City'!N162/1000</f>
        <v>1780.5</v>
      </c>
      <c r="E24" s="2" t="s">
        <v>44</v>
      </c>
      <c r="F24" s="20">
        <f>'SWPA Charges by City'!N165</f>
        <v>9.5</v>
      </c>
      <c r="G24" s="7"/>
      <c r="H24" s="2">
        <f>+ROUND(D24*F24,0)</f>
        <v>16915</v>
      </c>
      <c r="J24" s="2">
        <f>[1]WELL!$H$24</f>
        <v>15135</v>
      </c>
      <c r="L24" s="10">
        <f>-H24+J24</f>
        <v>-1780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840</v>
      </c>
      <c r="E26" s="2" t="s">
        <v>44</v>
      </c>
      <c r="F26" s="30">
        <f>F23/10</f>
        <v>1.7408299999999997</v>
      </c>
      <c r="G26" s="7"/>
      <c r="H26" s="10">
        <f>+ROUND(D26*F26,0)</f>
        <v>1462</v>
      </c>
      <c r="J26" s="2">
        <f>[1]WELL!$H$26</f>
        <v>2507</v>
      </c>
      <c r="L26" s="10">
        <f>-H26+J26</f>
        <v>1045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City'!B63/'SWPA Charges by City'!B23)*('SWPA Charges by City'!N162/1000)</f>
        <v>692.41666666666663</v>
      </c>
      <c r="E28" s="2" t="s">
        <v>44</v>
      </c>
      <c r="F28" s="30">
        <f>F24/10</f>
        <v>0.95</v>
      </c>
      <c r="G28" s="7"/>
      <c r="H28" s="10">
        <f>+ROUND(D28*F28,0)</f>
        <v>658</v>
      </c>
      <c r="J28" s="2">
        <f>[1]WELL!$H$28</f>
        <v>790</v>
      </c>
      <c r="L28" s="10">
        <f>-H28+J28</f>
        <v>132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G30" s="7"/>
    </row>
    <row r="31" spans="2:12" ht="12.95" customHeight="1" x14ac:dyDescent="0.2">
      <c r="C31" s="2" t="s">
        <v>77</v>
      </c>
      <c r="G31" s="7"/>
      <c r="H31" s="10">
        <f>'SWPA Charges by City'!N221</f>
        <v>492</v>
      </c>
      <c r="J31" s="2">
        <f>[1]WELL!$H$31</f>
        <v>615</v>
      </c>
      <c r="L31" s="10">
        <f>-H31+J31</f>
        <v>123</v>
      </c>
    </row>
    <row r="32" spans="2:12" ht="14.1" customHeight="1" x14ac:dyDescent="0.2">
      <c r="G32" s="7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City'!O103</f>
        <v>0.20430107526881722</v>
      </c>
      <c r="G33" s="7"/>
      <c r="H33" s="50">
        <f>D33*F33</f>
        <v>12834.602150537636</v>
      </c>
      <c r="J33" s="2">
        <f>[1]WELL!$H$33</f>
        <v>15905.61286787991</v>
      </c>
      <c r="L33" s="10">
        <f>-H33+J33</f>
        <v>3071.0107173422748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174638.44215053762</v>
      </c>
      <c r="J35" s="14">
        <f>+SUM(J13:J34)</f>
        <v>215672.8528678799</v>
      </c>
      <c r="L35" s="14">
        <f>-H35+J35</f>
        <v>41034.410717342282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  <row r="150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150"/>
  <sheetViews>
    <sheetView zoomScaleNormal="100" workbookViewId="0">
      <selection activeCell="B39" sqref="B39"/>
    </sheetView>
  </sheetViews>
  <sheetFormatPr defaultRowHeight="14.1" customHeight="1" x14ac:dyDescent="0.2"/>
  <cols>
    <col min="1" max="1" width="6.7109375" style="2" customWidth="1"/>
    <col min="2" max="2" width="10.7109375" style="2" customWidth="1"/>
    <col min="3" max="3" width="7.85546875" style="2" customWidth="1"/>
    <col min="4" max="5" width="2.7109375" style="2" customWidth="1"/>
    <col min="6" max="6" width="2.28515625" style="2" customWidth="1"/>
    <col min="7" max="7" width="6" style="2" customWidth="1"/>
    <col min="8" max="8" width="2.28515625" style="2" customWidth="1"/>
    <col min="9" max="9" width="8" style="2" customWidth="1"/>
    <col min="10" max="10" width="1.7109375" style="2" customWidth="1"/>
    <col min="11" max="11" width="8" style="2" bestFit="1" customWidth="1"/>
    <col min="12" max="12" width="1.7109375" style="2" customWidth="1"/>
    <col min="13" max="13" width="8" style="2" bestFit="1" customWidth="1"/>
    <col min="14" max="14" width="1.7109375" style="2" customWidth="1"/>
    <col min="15" max="15" width="8" style="2" bestFit="1" customWidth="1"/>
    <col min="16" max="16384" width="9.140625" style="2"/>
  </cols>
  <sheetData>
    <row r="1" spans="2:9" ht="15.95" customHeight="1" x14ac:dyDescent="0.2">
      <c r="E1" s="7"/>
      <c r="F1" s="7"/>
      <c r="G1" s="7"/>
      <c r="H1" s="3" t="s">
        <v>0</v>
      </c>
      <c r="I1" s="7"/>
    </row>
    <row r="2" spans="2:9" ht="15.95" customHeight="1" x14ac:dyDescent="0.2">
      <c r="E2" s="7"/>
      <c r="F2" s="7"/>
      <c r="G2" s="7"/>
      <c r="H2" s="4" t="str">
        <f>SUMMARY!B2</f>
        <v>2015 Annual Budget</v>
      </c>
      <c r="I2" s="7"/>
    </row>
    <row r="3" spans="2:9" ht="15.95" customHeight="1" x14ac:dyDescent="0.2">
      <c r="E3" s="7"/>
      <c r="F3" s="7"/>
      <c r="G3" s="7"/>
      <c r="H3" s="3" t="s">
        <v>12</v>
      </c>
      <c r="I3" s="7"/>
    </row>
    <row r="4" spans="2:9" ht="15.95" customHeight="1" x14ac:dyDescent="0.2">
      <c r="E4" s="7"/>
      <c r="F4" s="7"/>
      <c r="G4" s="7"/>
      <c r="I4" s="7"/>
    </row>
    <row r="5" spans="2:9" ht="15.95" customHeight="1" x14ac:dyDescent="0.2">
      <c r="B5" s="22" t="s">
        <v>13</v>
      </c>
      <c r="E5" s="7"/>
      <c r="F5" s="7"/>
      <c r="G5" s="7"/>
      <c r="H5" s="3"/>
    </row>
    <row r="6" spans="2:9" ht="15.95" customHeight="1" x14ac:dyDescent="0.2">
      <c r="B6" s="6" t="s">
        <v>87</v>
      </c>
      <c r="E6" s="7"/>
      <c r="F6" s="7"/>
      <c r="G6" s="7"/>
      <c r="H6" s="3"/>
    </row>
    <row r="7" spans="2:9" ht="15.95" customHeight="1" x14ac:dyDescent="0.2">
      <c r="B7" s="22" t="s">
        <v>132</v>
      </c>
      <c r="E7" s="7"/>
      <c r="F7" s="7"/>
      <c r="G7" s="7"/>
      <c r="H7" s="3"/>
    </row>
    <row r="8" spans="2:9" ht="9.9499999999999993" customHeight="1" x14ac:dyDescent="0.2">
      <c r="B8" s="22"/>
      <c r="E8" s="7"/>
      <c r="F8" s="7"/>
      <c r="G8" s="7"/>
      <c r="H8" s="3"/>
    </row>
    <row r="9" spans="2:9" ht="15.95" customHeight="1" x14ac:dyDescent="0.2">
      <c r="B9" s="6" t="s">
        <v>133</v>
      </c>
      <c r="E9" s="7"/>
      <c r="F9" s="7"/>
      <c r="G9" s="7"/>
      <c r="H9" s="3"/>
    </row>
    <row r="10" spans="2:9" ht="15.95" customHeight="1" x14ac:dyDescent="0.2">
      <c r="B10" s="6" t="s">
        <v>134</v>
      </c>
      <c r="E10" s="7"/>
      <c r="F10" s="7"/>
      <c r="G10" s="7"/>
      <c r="H10" s="3"/>
    </row>
    <row r="11" spans="2:9" ht="15.95" customHeight="1" x14ac:dyDescent="0.2">
      <c r="B11" s="6" t="s">
        <v>14</v>
      </c>
      <c r="E11" s="7"/>
      <c r="F11" s="7"/>
      <c r="G11" s="7"/>
      <c r="H11" s="3"/>
    </row>
    <row r="12" spans="2:9" ht="15.95" customHeight="1" x14ac:dyDescent="0.2">
      <c r="B12" s="6" t="s">
        <v>15</v>
      </c>
      <c r="E12" s="7"/>
      <c r="F12" s="7"/>
      <c r="G12" s="7"/>
      <c r="H12" s="3"/>
    </row>
    <row r="13" spans="2:9" ht="15.95" customHeight="1" x14ac:dyDescent="0.2">
      <c r="B13" s="6" t="s">
        <v>95</v>
      </c>
      <c r="E13" s="7"/>
      <c r="F13" s="7"/>
      <c r="G13" s="7"/>
      <c r="H13" s="3"/>
    </row>
    <row r="14" spans="2:9" ht="15.95" customHeight="1" x14ac:dyDescent="0.2">
      <c r="B14" s="6" t="s">
        <v>16</v>
      </c>
      <c r="E14" s="7"/>
      <c r="F14" s="7"/>
      <c r="G14" s="7"/>
      <c r="H14" s="3"/>
    </row>
    <row r="15" spans="2:9" ht="15.95" customHeight="1" x14ac:dyDescent="0.2">
      <c r="B15" s="6" t="s">
        <v>17</v>
      </c>
      <c r="E15" s="7"/>
      <c r="F15" s="7"/>
      <c r="G15" s="7"/>
      <c r="H15" s="3"/>
    </row>
    <row r="16" spans="2:9" ht="15.95" customHeight="1" x14ac:dyDescent="0.2">
      <c r="B16" s="6" t="s">
        <v>18</v>
      </c>
      <c r="E16" s="7"/>
      <c r="F16" s="7"/>
      <c r="G16" s="7"/>
      <c r="H16" s="3"/>
    </row>
    <row r="17" spans="2:8" ht="9.9499999999999993" customHeight="1" x14ac:dyDescent="0.2">
      <c r="B17" s="22"/>
      <c r="E17" s="7"/>
      <c r="F17" s="7"/>
      <c r="G17" s="7"/>
      <c r="H17" s="3"/>
    </row>
    <row r="18" spans="2:8" ht="15.95" customHeight="1" x14ac:dyDescent="0.2">
      <c r="B18" s="22" t="s">
        <v>19</v>
      </c>
      <c r="E18" s="7"/>
      <c r="F18" s="7"/>
      <c r="G18" s="7"/>
      <c r="H18" s="3"/>
    </row>
    <row r="19" spans="2:8" ht="15.95" customHeight="1" x14ac:dyDescent="0.2">
      <c r="B19" s="22" t="s">
        <v>20</v>
      </c>
      <c r="E19" s="7"/>
      <c r="F19" s="7"/>
      <c r="G19" s="7"/>
      <c r="H19" s="3"/>
    </row>
    <row r="20" spans="2:8" ht="18" customHeight="1" x14ac:dyDescent="0.2">
      <c r="C20" s="25"/>
      <c r="D20" s="7"/>
      <c r="E20" s="6"/>
      <c r="F20" s="6"/>
    </row>
    <row r="21" spans="2:8" ht="15.95" customHeight="1" x14ac:dyDescent="0.2">
      <c r="B21" s="22"/>
      <c r="E21" s="7"/>
      <c r="F21" s="7"/>
      <c r="G21" s="7"/>
      <c r="H21" s="3"/>
    </row>
    <row r="22" spans="2:8" ht="15.95" customHeight="1" x14ac:dyDescent="0.2">
      <c r="B22" s="22"/>
      <c r="E22" s="7"/>
      <c r="F22" s="7"/>
      <c r="G22" s="7"/>
      <c r="H22" s="3"/>
    </row>
    <row r="23" spans="2:8" ht="15.95" customHeight="1" x14ac:dyDescent="0.2">
      <c r="B23" s="22"/>
      <c r="E23" s="7"/>
      <c r="F23" s="7"/>
      <c r="G23" s="7"/>
      <c r="H23" s="3"/>
    </row>
    <row r="24" spans="2:8" ht="15.95" customHeight="1" x14ac:dyDescent="0.2">
      <c r="B24" s="22"/>
      <c r="E24" s="7"/>
      <c r="F24" s="7"/>
      <c r="G24" s="7"/>
      <c r="H24" s="3"/>
    </row>
    <row r="25" spans="2:8" ht="15.95" customHeight="1" x14ac:dyDescent="0.2">
      <c r="B25" s="22"/>
      <c r="E25" s="7"/>
      <c r="F25" s="7"/>
      <c r="G25" s="7"/>
      <c r="H25" s="3"/>
    </row>
    <row r="26" spans="2:8" ht="15.95" customHeight="1" x14ac:dyDescent="0.2">
      <c r="B26" s="22"/>
      <c r="E26" s="7"/>
      <c r="F26" s="7"/>
      <c r="G26" s="7"/>
      <c r="H26" s="3"/>
    </row>
    <row r="27" spans="2:8" ht="15.95" customHeight="1" x14ac:dyDescent="0.2">
      <c r="B27" s="22"/>
      <c r="E27" s="7"/>
      <c r="F27" s="7"/>
      <c r="G27" s="7"/>
      <c r="H27" s="3"/>
    </row>
    <row r="28" spans="2:8" ht="15.95" customHeight="1" x14ac:dyDescent="0.2">
      <c r="B28" s="22"/>
      <c r="E28" s="7"/>
      <c r="F28" s="7"/>
      <c r="G28" s="7"/>
      <c r="H28" s="3"/>
    </row>
    <row r="29" spans="2:8" ht="15.95" customHeight="1" x14ac:dyDescent="0.2">
      <c r="B29" s="22"/>
      <c r="E29" s="7"/>
      <c r="F29" s="7"/>
      <c r="G29" s="7"/>
      <c r="H29" s="3"/>
    </row>
    <row r="30" spans="2:8" ht="15.95" customHeight="1" x14ac:dyDescent="0.2">
      <c r="B30" s="22"/>
      <c r="E30" s="7"/>
      <c r="F30" s="7"/>
      <c r="G30" s="7"/>
      <c r="H30" s="3"/>
    </row>
    <row r="31" spans="2:8" ht="15.95" customHeight="1" x14ac:dyDescent="0.2">
      <c r="B31" s="22"/>
      <c r="E31" s="7"/>
      <c r="F31" s="7"/>
      <c r="G31" s="7"/>
      <c r="H31" s="3"/>
    </row>
    <row r="32" spans="2:8" ht="15.95" customHeight="1" x14ac:dyDescent="0.2">
      <c r="B32" s="22"/>
      <c r="E32" s="7"/>
      <c r="F32" s="7"/>
      <c r="G32" s="7"/>
      <c r="H32" s="3"/>
    </row>
    <row r="33" spans="2:8" ht="15.95" customHeight="1" x14ac:dyDescent="0.2">
      <c r="B33" s="22"/>
      <c r="E33" s="7"/>
      <c r="F33" s="7"/>
      <c r="G33" s="7"/>
      <c r="H33" s="3"/>
    </row>
    <row r="34" spans="2:8" ht="15.95" customHeight="1" x14ac:dyDescent="0.2">
      <c r="B34" s="22"/>
      <c r="E34" s="7"/>
      <c r="F34" s="7"/>
      <c r="G34" s="7"/>
      <c r="H34" s="3"/>
    </row>
    <row r="35" spans="2:8" ht="15.95" customHeight="1" x14ac:dyDescent="0.2">
      <c r="B35" s="22"/>
      <c r="E35" s="7"/>
      <c r="F35" s="7"/>
      <c r="G35" s="7"/>
      <c r="H35" s="3"/>
    </row>
    <row r="36" spans="2:8" ht="15.95" customHeight="1" x14ac:dyDescent="0.2">
      <c r="B36" s="22"/>
      <c r="E36" s="7"/>
      <c r="F36" s="7"/>
      <c r="G36" s="7"/>
      <c r="H36" s="3"/>
    </row>
    <row r="37" spans="2:8" ht="15.95" customHeight="1" x14ac:dyDescent="0.2">
      <c r="B37" s="22"/>
      <c r="E37" s="7"/>
      <c r="F37" s="7"/>
      <c r="G37" s="7"/>
      <c r="H37" s="3"/>
    </row>
    <row r="38" spans="2:8" ht="15.95" customHeight="1" x14ac:dyDescent="0.2">
      <c r="B38" s="22"/>
      <c r="E38" s="7"/>
      <c r="F38" s="7"/>
      <c r="G38" s="7"/>
      <c r="H38" s="3"/>
    </row>
    <row r="39" spans="2:8" ht="15.95" customHeight="1" x14ac:dyDescent="0.2">
      <c r="B39" s="22"/>
      <c r="E39" s="7"/>
      <c r="F39" s="7"/>
      <c r="G39" s="7"/>
      <c r="H39" s="3"/>
    </row>
    <row r="40" spans="2:8" ht="15.95" customHeight="1" x14ac:dyDescent="0.2">
      <c r="B40" s="22"/>
      <c r="E40" s="7"/>
      <c r="F40" s="7"/>
      <c r="G40" s="7"/>
      <c r="H40" s="3"/>
    </row>
    <row r="41" spans="2:8" ht="15.95" customHeight="1" x14ac:dyDescent="0.2">
      <c r="B41" s="22"/>
      <c r="E41" s="7"/>
      <c r="F41" s="7"/>
      <c r="G41" s="7"/>
      <c r="H41" s="3"/>
    </row>
    <row r="42" spans="2:8" ht="15.95" customHeight="1" x14ac:dyDescent="0.2">
      <c r="B42" s="22"/>
      <c r="E42" s="7"/>
      <c r="F42" s="7"/>
      <c r="G42" s="7"/>
      <c r="H42" s="3"/>
    </row>
    <row r="43" spans="2:8" ht="15.95" customHeight="1" x14ac:dyDescent="0.2">
      <c r="B43" s="22"/>
      <c r="E43" s="7"/>
      <c r="F43" s="7"/>
      <c r="G43" s="7"/>
      <c r="H43" s="3"/>
    </row>
    <row r="44" spans="2:8" ht="15.95" customHeight="1" x14ac:dyDescent="0.2">
      <c r="B44" s="22"/>
      <c r="E44" s="7"/>
      <c r="F44" s="7"/>
      <c r="G44" s="7"/>
      <c r="H44" s="3"/>
    </row>
    <row r="45" spans="2:8" ht="15.95" customHeight="1" x14ac:dyDescent="0.2">
      <c r="B45" s="22"/>
      <c r="E45" s="7"/>
      <c r="F45" s="7"/>
      <c r="G45" s="7"/>
      <c r="H45" s="3"/>
    </row>
    <row r="46" spans="2:8" ht="15.95" customHeight="1" x14ac:dyDescent="0.2">
      <c r="B46" s="22"/>
      <c r="E46" s="7"/>
      <c r="F46" s="7"/>
      <c r="G46" s="7"/>
      <c r="H46" s="3"/>
    </row>
    <row r="47" spans="2:8" ht="15.95" customHeight="1" x14ac:dyDescent="0.2">
      <c r="B47" s="22"/>
      <c r="E47" s="7"/>
      <c r="F47" s="7"/>
      <c r="G47" s="7"/>
      <c r="H47" s="3"/>
    </row>
    <row r="48" spans="2:8" ht="14.1" customHeight="1" x14ac:dyDescent="0.2">
      <c r="C48" s="25"/>
    </row>
    <row r="49" spans="3:3" ht="14.1" customHeight="1" x14ac:dyDescent="0.2">
      <c r="C49" s="25"/>
    </row>
    <row r="50" spans="3:3" ht="14.1" customHeight="1" x14ac:dyDescent="0.2">
      <c r="C50" s="25"/>
    </row>
    <row r="51" spans="3:3" ht="14.1" customHeight="1" x14ac:dyDescent="0.2">
      <c r="C51" s="25"/>
    </row>
    <row r="52" spans="3:3" ht="14.1" customHeight="1" x14ac:dyDescent="0.2">
      <c r="C52" s="25"/>
    </row>
    <row r="53" spans="3:3" ht="14.1" customHeight="1" x14ac:dyDescent="0.2">
      <c r="C53" s="25"/>
    </row>
    <row r="54" spans="3:3" ht="14.1" customHeight="1" x14ac:dyDescent="0.2">
      <c r="C54" s="25"/>
    </row>
    <row r="55" spans="3:3" ht="14.1" customHeight="1" x14ac:dyDescent="0.2">
      <c r="C55" s="25"/>
    </row>
    <row r="56" spans="3:3" ht="14.1" customHeight="1" x14ac:dyDescent="0.2">
      <c r="C56" s="25"/>
    </row>
    <row r="57" spans="3:3" ht="14.1" customHeight="1" x14ac:dyDescent="0.2">
      <c r="C57" s="25"/>
    </row>
    <row r="58" spans="3:3" ht="14.1" customHeight="1" x14ac:dyDescent="0.2">
      <c r="C58" s="25"/>
    </row>
    <row r="59" spans="3:3" ht="14.1" customHeight="1" x14ac:dyDescent="0.2">
      <c r="C59" s="25"/>
    </row>
    <row r="60" spans="3:3" ht="14.1" customHeight="1" x14ac:dyDescent="0.2">
      <c r="C60" s="25"/>
    </row>
    <row r="61" spans="3:3" ht="14.1" customHeight="1" x14ac:dyDescent="0.2">
      <c r="C61" s="25"/>
    </row>
    <row r="62" spans="3:3" ht="14.1" customHeight="1" x14ac:dyDescent="0.2">
      <c r="C62" s="25"/>
    </row>
    <row r="63" spans="3:3" ht="14.1" customHeight="1" x14ac:dyDescent="0.2">
      <c r="C63" s="25"/>
    </row>
    <row r="64" spans="3:3" ht="14.1" customHeight="1" x14ac:dyDescent="0.2">
      <c r="C64" s="25"/>
    </row>
    <row r="65" spans="3:3" ht="14.1" customHeight="1" x14ac:dyDescent="0.2">
      <c r="C65" s="25"/>
    </row>
    <row r="66" spans="3:3" ht="14.1" customHeight="1" x14ac:dyDescent="0.2">
      <c r="C66" s="25"/>
    </row>
    <row r="67" spans="3:3" ht="14.1" customHeight="1" x14ac:dyDescent="0.2">
      <c r="C67" s="25"/>
    </row>
    <row r="68" spans="3:3" ht="14.1" customHeight="1" x14ac:dyDescent="0.2">
      <c r="C68" s="25"/>
    </row>
    <row r="69" spans="3:3" ht="14.1" customHeight="1" x14ac:dyDescent="0.2">
      <c r="C69" s="25"/>
    </row>
    <row r="70" spans="3:3" ht="12" x14ac:dyDescent="0.2">
      <c r="C70" s="25"/>
    </row>
    <row r="71" spans="3:3" ht="12" x14ac:dyDescent="0.2">
      <c r="C71" s="25"/>
    </row>
    <row r="72" spans="3:3" ht="12" x14ac:dyDescent="0.2">
      <c r="C72" s="25"/>
    </row>
    <row r="73" spans="3:3" ht="12" x14ac:dyDescent="0.2">
      <c r="C73" s="25"/>
    </row>
    <row r="74" spans="3:3" ht="12" x14ac:dyDescent="0.2">
      <c r="C74" s="25"/>
    </row>
    <row r="75" spans="3:3" ht="12" x14ac:dyDescent="0.2">
      <c r="C75" s="25"/>
    </row>
    <row r="76" spans="3:3" ht="12" x14ac:dyDescent="0.2">
      <c r="C76" s="25"/>
    </row>
    <row r="77" spans="3:3" ht="12" x14ac:dyDescent="0.2">
      <c r="C77" s="25"/>
    </row>
    <row r="78" spans="3:3" ht="12" x14ac:dyDescent="0.2">
      <c r="C78" s="25"/>
    </row>
    <row r="79" spans="3:3" ht="12" x14ac:dyDescent="0.2">
      <c r="C79" s="25"/>
    </row>
    <row r="80" spans="3:3" ht="12" x14ac:dyDescent="0.2">
      <c r="C80" s="25"/>
    </row>
    <row r="81" spans="3:3" ht="12" x14ac:dyDescent="0.2">
      <c r="C81" s="25"/>
    </row>
    <row r="82" spans="3:3" ht="12" x14ac:dyDescent="0.2">
      <c r="C82" s="25"/>
    </row>
    <row r="83" spans="3:3" ht="12" x14ac:dyDescent="0.2">
      <c r="C83" s="25"/>
    </row>
    <row r="84" spans="3:3" ht="12" x14ac:dyDescent="0.2">
      <c r="C84" s="25"/>
    </row>
    <row r="85" spans="3:3" ht="12" x14ac:dyDescent="0.2">
      <c r="C85" s="25"/>
    </row>
    <row r="86" spans="3:3" ht="12" x14ac:dyDescent="0.2">
      <c r="C86" s="25"/>
    </row>
    <row r="87" spans="3:3" ht="12" x14ac:dyDescent="0.2">
      <c r="C87" s="25"/>
    </row>
    <row r="88" spans="3:3" ht="12" x14ac:dyDescent="0.2">
      <c r="C88" s="25"/>
    </row>
    <row r="89" spans="3:3" ht="12" x14ac:dyDescent="0.2">
      <c r="C89" s="25"/>
    </row>
    <row r="90" spans="3:3" ht="12" x14ac:dyDescent="0.2">
      <c r="C90" s="25"/>
    </row>
    <row r="91" spans="3:3" ht="12" x14ac:dyDescent="0.2">
      <c r="C91" s="25"/>
    </row>
    <row r="92" spans="3:3" ht="12" x14ac:dyDescent="0.2">
      <c r="C92" s="25"/>
    </row>
    <row r="93" spans="3:3" ht="12" x14ac:dyDescent="0.2">
      <c r="C93" s="25"/>
    </row>
    <row r="94" spans="3:3" ht="12" x14ac:dyDescent="0.2">
      <c r="C94" s="25"/>
    </row>
    <row r="95" spans="3:3" ht="12" x14ac:dyDescent="0.2">
      <c r="C95" s="25"/>
    </row>
    <row r="96" spans="3:3" ht="12" x14ac:dyDescent="0.2">
      <c r="C96" s="25"/>
    </row>
    <row r="97" spans="3:3" ht="12" x14ac:dyDescent="0.2">
      <c r="C97" s="25"/>
    </row>
    <row r="98" spans="3:3" ht="12" x14ac:dyDescent="0.2">
      <c r="C98" s="25"/>
    </row>
    <row r="99" spans="3:3" ht="12" x14ac:dyDescent="0.2">
      <c r="C99" s="25"/>
    </row>
    <row r="100" spans="3:3" ht="12" x14ac:dyDescent="0.2">
      <c r="C100" s="25"/>
    </row>
    <row r="101" spans="3:3" ht="12" x14ac:dyDescent="0.2">
      <c r="C101" s="25"/>
    </row>
    <row r="102" spans="3:3" ht="12" x14ac:dyDescent="0.2">
      <c r="C102" s="25"/>
    </row>
    <row r="103" spans="3:3" ht="12" x14ac:dyDescent="0.2">
      <c r="C103" s="25"/>
    </row>
    <row r="104" spans="3:3" ht="12" x14ac:dyDescent="0.2">
      <c r="C104" s="25"/>
    </row>
    <row r="105" spans="3:3" ht="12" x14ac:dyDescent="0.2">
      <c r="C105" s="25"/>
    </row>
    <row r="106" spans="3:3" ht="12" x14ac:dyDescent="0.2">
      <c r="C106" s="25"/>
    </row>
    <row r="107" spans="3:3" ht="12" x14ac:dyDescent="0.2">
      <c r="C107" s="25"/>
    </row>
    <row r="108" spans="3:3" ht="12" x14ac:dyDescent="0.2">
      <c r="C108" s="25"/>
    </row>
    <row r="109" spans="3:3" ht="12" x14ac:dyDescent="0.2">
      <c r="C109" s="25"/>
    </row>
    <row r="110" spans="3:3" ht="12" x14ac:dyDescent="0.2">
      <c r="C110" s="25"/>
    </row>
    <row r="111" spans="3:3" ht="12" x14ac:dyDescent="0.2">
      <c r="C111" s="25"/>
    </row>
    <row r="112" spans="3:3" ht="12" x14ac:dyDescent="0.2">
      <c r="C112" s="25"/>
    </row>
    <row r="113" spans="3:3" ht="12" x14ac:dyDescent="0.2">
      <c r="C113" s="25"/>
    </row>
    <row r="114" spans="3:3" ht="12" x14ac:dyDescent="0.2">
      <c r="C114" s="25"/>
    </row>
    <row r="115" spans="3:3" ht="12" x14ac:dyDescent="0.2">
      <c r="C115" s="25"/>
    </row>
    <row r="116" spans="3:3" ht="12" x14ac:dyDescent="0.2">
      <c r="C116" s="25"/>
    </row>
    <row r="117" spans="3:3" ht="12" x14ac:dyDescent="0.2">
      <c r="C117" s="25"/>
    </row>
    <row r="118" spans="3:3" ht="12" x14ac:dyDescent="0.2">
      <c r="C118" s="25"/>
    </row>
    <row r="119" spans="3:3" ht="12" x14ac:dyDescent="0.2">
      <c r="C119" s="25"/>
    </row>
    <row r="120" spans="3:3" ht="12" x14ac:dyDescent="0.2">
      <c r="C120" s="25"/>
    </row>
    <row r="121" spans="3:3" ht="12" x14ac:dyDescent="0.2">
      <c r="C121" s="25"/>
    </row>
    <row r="122" spans="3:3" ht="12" x14ac:dyDescent="0.2">
      <c r="C122" s="25"/>
    </row>
    <row r="123" spans="3:3" ht="12" x14ac:dyDescent="0.2">
      <c r="C123" s="25"/>
    </row>
    <row r="124" spans="3:3" ht="12" x14ac:dyDescent="0.2">
      <c r="C124" s="25"/>
    </row>
    <row r="125" spans="3:3" ht="12" x14ac:dyDescent="0.2">
      <c r="C125" s="25"/>
    </row>
    <row r="126" spans="3:3" ht="12" x14ac:dyDescent="0.2">
      <c r="C126" s="25"/>
    </row>
    <row r="127" spans="3:3" ht="12" x14ac:dyDescent="0.2">
      <c r="C127" s="25"/>
    </row>
    <row r="128" spans="3:3" ht="12" x14ac:dyDescent="0.2">
      <c r="C128" s="25"/>
    </row>
    <row r="129" spans="3:3" ht="12" x14ac:dyDescent="0.2">
      <c r="C129" s="25"/>
    </row>
    <row r="130" spans="3:3" ht="12" x14ac:dyDescent="0.2">
      <c r="C130" s="25"/>
    </row>
    <row r="131" spans="3:3" ht="12" x14ac:dyDescent="0.2">
      <c r="C131" s="25"/>
    </row>
    <row r="132" spans="3:3" ht="12" x14ac:dyDescent="0.2">
      <c r="C132" s="25"/>
    </row>
    <row r="133" spans="3:3" ht="12" x14ac:dyDescent="0.2">
      <c r="C133" s="25"/>
    </row>
    <row r="134" spans="3:3" ht="12" x14ac:dyDescent="0.2">
      <c r="C134" s="25"/>
    </row>
    <row r="135" spans="3:3" ht="12" x14ac:dyDescent="0.2">
      <c r="C135" s="25"/>
    </row>
    <row r="136" spans="3:3" ht="12" x14ac:dyDescent="0.2">
      <c r="C136" s="25"/>
    </row>
    <row r="137" spans="3:3" ht="12" x14ac:dyDescent="0.2">
      <c r="C137" s="25"/>
    </row>
    <row r="138" spans="3:3" ht="12" x14ac:dyDescent="0.2">
      <c r="C138" s="25"/>
    </row>
    <row r="139" spans="3:3" ht="12" x14ac:dyDescent="0.2">
      <c r="C139" s="25"/>
    </row>
    <row r="140" spans="3:3" ht="12" x14ac:dyDescent="0.2">
      <c r="C140" s="25"/>
    </row>
    <row r="141" spans="3:3" ht="12" x14ac:dyDescent="0.2">
      <c r="C141" s="25"/>
    </row>
    <row r="142" spans="3:3" ht="12" x14ac:dyDescent="0.2">
      <c r="C142" s="25"/>
    </row>
    <row r="143" spans="3:3" ht="12" x14ac:dyDescent="0.2">
      <c r="C143" s="25"/>
    </row>
    <row r="144" spans="3:3" ht="12" x14ac:dyDescent="0.2">
      <c r="C144" s="25"/>
    </row>
    <row r="145" spans="3:3" ht="12" x14ac:dyDescent="0.2">
      <c r="C145" s="25"/>
    </row>
    <row r="146" spans="3:3" ht="12" x14ac:dyDescent="0.2">
      <c r="C146" s="25"/>
    </row>
    <row r="147" spans="3:3" ht="12" x14ac:dyDescent="0.2"/>
    <row r="148" spans="3:3" ht="12" x14ac:dyDescent="0.2"/>
    <row r="149" spans="3:3" ht="12" x14ac:dyDescent="0.2"/>
    <row r="150" spans="3:3" ht="12" x14ac:dyDescent="0.2"/>
  </sheetData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30"/>
  <sheetViews>
    <sheetView zoomScaleNormal="100" workbookViewId="0">
      <selection activeCell="O30" sqref="O30"/>
    </sheetView>
  </sheetViews>
  <sheetFormatPr defaultRowHeight="14.1" customHeight="1" x14ac:dyDescent="0.2"/>
  <cols>
    <col min="1" max="1" width="8.7109375" style="2" customWidth="1"/>
    <col min="2" max="2" width="2.28515625" style="2" customWidth="1"/>
    <col min="3" max="3" width="13" style="2" customWidth="1"/>
    <col min="4" max="4" width="1.7109375" style="2" customWidth="1"/>
    <col min="5" max="5" width="6.28515625" style="2" customWidth="1"/>
    <col min="6" max="6" width="1.7109375" style="2" customWidth="1"/>
    <col min="7" max="7" width="8.28515625" style="2" customWidth="1"/>
    <col min="8" max="8" width="1.7109375" style="2" customWidth="1"/>
    <col min="9" max="9" width="7.28515625" style="2" customWidth="1"/>
    <col min="10" max="10" width="1.7109375" style="2" customWidth="1"/>
    <col min="11" max="11" width="2.7109375" style="2" customWidth="1"/>
    <col min="12" max="12" width="6.28515625" style="2" customWidth="1"/>
    <col min="13" max="13" width="1.7109375" style="2" customWidth="1"/>
    <col min="14" max="14" width="8.28515625" style="2" customWidth="1"/>
    <col min="15" max="15" width="1.7109375" style="2" customWidth="1"/>
    <col min="16" max="16" width="7.28515625" style="2" customWidth="1"/>
    <col min="17" max="17" width="1.7109375" style="2" customWidth="1"/>
    <col min="18" max="16384" width="9.140625" style="2"/>
  </cols>
  <sheetData>
    <row r="1" spans="1:22" ht="15.95" customHeight="1" x14ac:dyDescent="0.2">
      <c r="A1" s="16"/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22" ht="15.95" customHeight="1" x14ac:dyDescent="0.2">
      <c r="A2" s="16"/>
      <c r="B2" s="16"/>
      <c r="C2"/>
      <c r="D2"/>
      <c r="E2" s="7"/>
      <c r="F2" s="7"/>
      <c r="G2" s="16"/>
      <c r="I2" s="18" t="str">
        <f>AUG!B2</f>
        <v>2015 Annual Budget</v>
      </c>
      <c r="J2"/>
      <c r="K2"/>
      <c r="L2" s="7"/>
      <c r="M2" s="7"/>
      <c r="N2" s="16"/>
      <c r="P2" s="18"/>
    </row>
    <row r="3" spans="1:22" ht="15.95" customHeight="1" x14ac:dyDescent="0.2">
      <c r="A3" s="16"/>
      <c r="B3" s="16"/>
      <c r="C3"/>
      <c r="D3"/>
      <c r="E3" s="7"/>
      <c r="F3" s="7"/>
      <c r="G3" s="16"/>
      <c r="I3" s="17"/>
      <c r="J3"/>
      <c r="K3"/>
      <c r="L3" s="7"/>
      <c r="M3" s="7"/>
      <c r="N3" s="16"/>
      <c r="P3" s="17"/>
    </row>
    <row r="4" spans="1:22" ht="15.95" customHeight="1" x14ac:dyDescent="0.2">
      <c r="A4" s="16"/>
      <c r="B4" s="16"/>
      <c r="C4"/>
      <c r="D4"/>
      <c r="E4" s="7"/>
      <c r="F4" s="7"/>
      <c r="G4" s="16"/>
      <c r="I4" s="18" t="s">
        <v>55</v>
      </c>
      <c r="J4"/>
      <c r="K4"/>
      <c r="L4" s="7"/>
      <c r="M4" s="7"/>
      <c r="N4" s="16"/>
      <c r="P4" s="18"/>
    </row>
    <row r="5" spans="1:22" ht="15.95" customHeight="1" x14ac:dyDescent="0.2">
      <c r="A5" s="16"/>
      <c r="B5" s="16"/>
      <c r="C5"/>
      <c r="D5"/>
      <c r="E5" s="7"/>
      <c r="F5" s="7"/>
      <c r="G5" s="16"/>
      <c r="J5"/>
      <c r="K5" s="17"/>
      <c r="L5" s="7"/>
      <c r="M5" s="7"/>
      <c r="N5" s="16"/>
    </row>
    <row r="7" spans="1:22" ht="14.1" customHeight="1" x14ac:dyDescent="0.2">
      <c r="C7" s="11"/>
    </row>
    <row r="8" spans="1:22" ht="14.1" customHeight="1" x14ac:dyDescent="0.2">
      <c r="C8" s="48"/>
      <c r="D8" s="43"/>
      <c r="E8" s="127">
        <f>WELL!J9</f>
        <v>2014</v>
      </c>
      <c r="F8" s="127"/>
      <c r="G8" s="127"/>
      <c r="H8" s="127"/>
      <c r="I8" s="127"/>
      <c r="J8" s="43"/>
      <c r="K8" s="43"/>
      <c r="L8" s="127">
        <f>WELL!H9</f>
        <v>2015</v>
      </c>
      <c r="M8" s="127"/>
      <c r="N8" s="127"/>
      <c r="O8" s="127"/>
      <c r="P8" s="127"/>
    </row>
    <row r="9" spans="1:22" ht="14.1" customHeight="1" x14ac:dyDescent="0.2">
      <c r="C9" s="43"/>
      <c r="D9" s="49"/>
      <c r="E9" s="42" t="s">
        <v>56</v>
      </c>
      <c r="F9" s="42"/>
      <c r="G9" s="42" t="s">
        <v>57</v>
      </c>
      <c r="H9" s="43"/>
      <c r="I9" s="42" t="s">
        <v>58</v>
      </c>
      <c r="J9" s="42"/>
      <c r="K9" s="43"/>
      <c r="L9" s="42" t="s">
        <v>56</v>
      </c>
      <c r="M9" s="42"/>
      <c r="N9" s="42" t="s">
        <v>57</v>
      </c>
      <c r="O9" s="43"/>
      <c r="P9" s="42" t="s">
        <v>58</v>
      </c>
      <c r="Q9" s="3"/>
    </row>
    <row r="10" spans="1:22" ht="14.1" customHeight="1" x14ac:dyDescent="0.2">
      <c r="B10" s="28"/>
      <c r="C10" s="44" t="s">
        <v>59</v>
      </c>
      <c r="D10" s="49"/>
      <c r="E10" s="44" t="s">
        <v>60</v>
      </c>
      <c r="F10" s="42"/>
      <c r="G10" s="44" t="s">
        <v>61</v>
      </c>
      <c r="H10" s="43"/>
      <c r="I10" s="44" t="s">
        <v>62</v>
      </c>
      <c r="J10" s="42"/>
      <c r="K10" s="43"/>
      <c r="L10" s="44" t="s">
        <v>60</v>
      </c>
      <c r="M10" s="42"/>
      <c r="N10" s="44" t="s">
        <v>61</v>
      </c>
      <c r="O10" s="43"/>
      <c r="P10" s="44" t="s">
        <v>62</v>
      </c>
      <c r="Q10" s="3"/>
    </row>
    <row r="11" spans="1:22" ht="6.95" customHeight="1" x14ac:dyDescent="0.2">
      <c r="C11" s="43"/>
      <c r="D11" s="4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22" ht="18" customHeight="1" x14ac:dyDescent="0.2">
      <c r="C12" s="43" t="s">
        <v>64</v>
      </c>
      <c r="D12" s="43"/>
      <c r="E12" s="47">
        <v>500</v>
      </c>
      <c r="F12" s="43"/>
      <c r="G12" s="50">
        <v>4358</v>
      </c>
      <c r="H12" s="43"/>
      <c r="I12" s="50">
        <v>125</v>
      </c>
      <c r="J12" s="43"/>
      <c r="K12" s="43"/>
      <c r="L12" s="47">
        <v>500</v>
      </c>
      <c r="M12" s="43"/>
      <c r="N12" s="50">
        <f>+ROUND((+SUMMARY!$F$20+SUMMARY!$F$21)*($L12/L$24),0)</f>
        <v>4219</v>
      </c>
      <c r="O12" s="43"/>
      <c r="P12" s="50">
        <v>125</v>
      </c>
      <c r="R12" s="47"/>
      <c r="S12" s="43"/>
      <c r="T12" s="10"/>
      <c r="V12" s="10"/>
    </row>
    <row r="13" spans="1:22" ht="18" customHeight="1" x14ac:dyDescent="0.2">
      <c r="C13" s="51" t="s">
        <v>65</v>
      </c>
      <c r="D13" s="43"/>
      <c r="E13" s="47">
        <v>300</v>
      </c>
      <c r="F13" s="43"/>
      <c r="G13" s="50">
        <v>2615</v>
      </c>
      <c r="H13" s="43"/>
      <c r="I13" s="50">
        <v>75</v>
      </c>
      <c r="J13" s="43"/>
      <c r="K13" s="43"/>
      <c r="L13" s="47">
        <f>'[1]CLASS B CITIES'!E14</f>
        <v>300</v>
      </c>
      <c r="M13" s="43"/>
      <c r="N13" s="50">
        <f>+ROUND((+SUMMARY!$F$20+SUMMARY!$F$21)*($L13/L$24),0)</f>
        <v>2532</v>
      </c>
      <c r="O13" s="43"/>
      <c r="P13" s="50">
        <v>75</v>
      </c>
      <c r="R13" s="33"/>
      <c r="T13" s="10"/>
      <c r="V13" s="10"/>
    </row>
    <row r="14" spans="1:22" ht="18" customHeight="1" x14ac:dyDescent="0.2">
      <c r="C14" s="43" t="s">
        <v>66</v>
      </c>
      <c r="D14" s="43"/>
      <c r="E14" s="47">
        <v>300</v>
      </c>
      <c r="F14" s="43"/>
      <c r="G14" s="50">
        <v>2615</v>
      </c>
      <c r="H14" s="43"/>
      <c r="I14" s="50">
        <v>75</v>
      </c>
      <c r="J14" s="43"/>
      <c r="K14" s="43"/>
      <c r="L14" s="50">
        <v>0</v>
      </c>
      <c r="M14" s="43"/>
      <c r="N14" s="50">
        <v>0</v>
      </c>
      <c r="O14" s="43"/>
      <c r="P14" s="50">
        <v>0</v>
      </c>
      <c r="R14" s="33"/>
      <c r="T14" s="10"/>
      <c r="V14" s="10"/>
    </row>
    <row r="15" spans="1:22" ht="18" customHeight="1" x14ac:dyDescent="0.2">
      <c r="C15" s="43" t="s">
        <v>67</v>
      </c>
      <c r="D15" s="43"/>
      <c r="E15" s="47">
        <v>200</v>
      </c>
      <c r="F15" s="43"/>
      <c r="G15" s="50">
        <v>1743</v>
      </c>
      <c r="H15" s="43"/>
      <c r="I15" s="50">
        <v>50</v>
      </c>
      <c r="J15" s="43"/>
      <c r="K15" s="43"/>
      <c r="L15" s="50">
        <v>0</v>
      </c>
      <c r="M15" s="43"/>
      <c r="N15" s="50">
        <v>0</v>
      </c>
      <c r="O15" s="43"/>
      <c r="P15" s="50">
        <v>0</v>
      </c>
      <c r="R15" s="33"/>
      <c r="T15" s="10"/>
      <c r="V15" s="10"/>
    </row>
    <row r="16" spans="1:22" ht="18" customHeight="1" x14ac:dyDescent="0.2">
      <c r="C16" s="43" t="s">
        <v>88</v>
      </c>
      <c r="D16" s="43"/>
      <c r="E16" s="47">
        <v>200</v>
      </c>
      <c r="F16" s="43"/>
      <c r="G16" s="50">
        <v>1743</v>
      </c>
      <c r="H16" s="43"/>
      <c r="I16" s="50">
        <v>50</v>
      </c>
      <c r="J16" s="43"/>
      <c r="K16" s="43"/>
      <c r="L16" s="47">
        <f>'[1]CLASS B CITIES'!E17</f>
        <v>200</v>
      </c>
      <c r="M16" s="43"/>
      <c r="N16" s="50">
        <f>+ROUND((+SUMMARY!$F$20+SUMMARY!$F$21)*($L16/L$24),0)</f>
        <v>1688</v>
      </c>
      <c r="O16" s="43"/>
      <c r="P16" s="50">
        <v>50</v>
      </c>
      <c r="R16" s="33"/>
      <c r="T16" s="10"/>
      <c r="V16" s="10"/>
    </row>
    <row r="17" spans="3:22" ht="18" customHeight="1" x14ac:dyDescent="0.2">
      <c r="C17" s="43" t="s">
        <v>68</v>
      </c>
      <c r="D17" s="43"/>
      <c r="E17" s="47">
        <v>200</v>
      </c>
      <c r="F17" s="43"/>
      <c r="G17" s="50">
        <v>1743</v>
      </c>
      <c r="H17" s="43"/>
      <c r="I17" s="50">
        <v>50</v>
      </c>
      <c r="J17" s="43"/>
      <c r="K17" s="43"/>
      <c r="L17" s="47">
        <v>200</v>
      </c>
      <c r="M17" s="43"/>
      <c r="N17" s="50">
        <f>+ROUND((+SUMMARY!$F$20+SUMMARY!$F$21)*($L17/L$24),0)</f>
        <v>1688</v>
      </c>
      <c r="O17" s="43"/>
      <c r="P17" s="50">
        <v>50</v>
      </c>
      <c r="R17" s="33"/>
      <c r="T17" s="10"/>
      <c r="V17" s="10"/>
    </row>
    <row r="18" spans="3:22" ht="18" customHeight="1" x14ac:dyDescent="0.2">
      <c r="C18" s="43" t="s">
        <v>69</v>
      </c>
      <c r="D18" s="43"/>
      <c r="E18" s="47">
        <v>300</v>
      </c>
      <c r="F18" s="43"/>
      <c r="G18" s="50">
        <v>2615</v>
      </c>
      <c r="H18" s="43"/>
      <c r="I18" s="50">
        <v>75</v>
      </c>
      <c r="J18" s="43"/>
      <c r="K18" s="43"/>
      <c r="L18" s="47">
        <f>'[1]CLASS B CITIES'!E19</f>
        <v>300</v>
      </c>
      <c r="M18" s="43"/>
      <c r="N18" s="50">
        <f>+ROUND((+SUMMARY!$F$20+SUMMARY!$F$21)*($L18/L$24),0)</f>
        <v>2532</v>
      </c>
      <c r="O18" s="43"/>
      <c r="P18" s="50">
        <v>75</v>
      </c>
      <c r="R18" s="33"/>
      <c r="T18" s="10"/>
      <c r="V18" s="10"/>
    </row>
    <row r="19" spans="3:22" ht="18" customHeight="1" x14ac:dyDescent="0.2">
      <c r="C19" s="43" t="s">
        <v>70</v>
      </c>
      <c r="D19" s="43"/>
      <c r="E19" s="47">
        <v>300</v>
      </c>
      <c r="F19" s="43"/>
      <c r="G19" s="50">
        <v>2615</v>
      </c>
      <c r="H19" s="43"/>
      <c r="I19" s="50">
        <v>75</v>
      </c>
      <c r="J19" s="43"/>
      <c r="K19" s="43"/>
      <c r="L19" s="47">
        <v>300</v>
      </c>
      <c r="M19" s="43"/>
      <c r="N19" s="50">
        <f>+ROUND((+SUMMARY!$F$20+SUMMARY!$F$21)*($L19/L$24),0)</f>
        <v>2532</v>
      </c>
      <c r="O19" s="43"/>
      <c r="P19" s="50">
        <v>75</v>
      </c>
      <c r="R19" s="33"/>
      <c r="T19" s="10"/>
      <c r="V19" s="10"/>
    </row>
    <row r="20" spans="3:22" ht="18" customHeight="1" x14ac:dyDescent="0.2">
      <c r="C20" s="43" t="s">
        <v>71</v>
      </c>
      <c r="D20" s="43"/>
      <c r="E20" s="116">
        <v>0</v>
      </c>
      <c r="F20" s="43"/>
      <c r="G20" s="50">
        <f>+ROUND((+SUMMARY!$F$20+SUMMARY!$F$21)*($E20/E$24),0)</f>
        <v>0</v>
      </c>
      <c r="H20" s="43"/>
      <c r="I20" s="50">
        <v>0</v>
      </c>
      <c r="J20" s="43"/>
      <c r="K20" s="43"/>
      <c r="L20" s="50">
        <v>0</v>
      </c>
      <c r="M20" s="43"/>
      <c r="N20" s="50">
        <v>0</v>
      </c>
      <c r="O20" s="43"/>
      <c r="P20" s="50">
        <v>0</v>
      </c>
      <c r="R20" s="33"/>
      <c r="T20" s="10"/>
      <c r="V20" s="10"/>
    </row>
    <row r="21" spans="3:22" ht="18" customHeight="1" x14ac:dyDescent="0.2">
      <c r="C21" s="43" t="s">
        <v>73</v>
      </c>
      <c r="D21" s="43"/>
      <c r="E21" s="47">
        <v>100</v>
      </c>
      <c r="F21" s="43"/>
      <c r="G21" s="50">
        <v>872</v>
      </c>
      <c r="H21" s="43"/>
      <c r="I21" s="50">
        <v>25</v>
      </c>
      <c r="J21" s="43"/>
      <c r="K21" s="43"/>
      <c r="L21" s="50">
        <v>0</v>
      </c>
      <c r="M21" s="43"/>
      <c r="N21" s="50">
        <v>0</v>
      </c>
      <c r="O21" s="43"/>
      <c r="P21" s="50">
        <v>0</v>
      </c>
      <c r="R21" s="33"/>
      <c r="T21" s="10"/>
      <c r="V21" s="10"/>
    </row>
    <row r="22" spans="3:22" ht="18" customHeight="1" x14ac:dyDescent="0.2">
      <c r="C22" s="43" t="s">
        <v>72</v>
      </c>
      <c r="D22" s="43"/>
      <c r="E22" s="47">
        <v>100</v>
      </c>
      <c r="F22" s="43"/>
      <c r="G22" s="50">
        <v>872</v>
      </c>
      <c r="H22" s="43"/>
      <c r="I22" s="50">
        <v>25</v>
      </c>
      <c r="J22" s="43"/>
      <c r="K22" s="43"/>
      <c r="L22" s="50">
        <v>0</v>
      </c>
      <c r="M22" s="43"/>
      <c r="N22" s="50">
        <v>0</v>
      </c>
      <c r="O22" s="43"/>
      <c r="P22" s="50">
        <v>0</v>
      </c>
      <c r="R22" s="33"/>
      <c r="T22" s="10"/>
      <c r="V22" s="10"/>
    </row>
    <row r="23" spans="3:22" ht="18" customHeight="1" x14ac:dyDescent="0.2">
      <c r="C23" s="43" t="s">
        <v>74</v>
      </c>
      <c r="D23" s="43"/>
      <c r="E23" s="47">
        <v>300</v>
      </c>
      <c r="F23" s="43"/>
      <c r="G23" s="50">
        <v>2613</v>
      </c>
      <c r="H23" s="43"/>
      <c r="I23" s="50">
        <v>75</v>
      </c>
      <c r="J23" s="43"/>
      <c r="K23" s="43"/>
      <c r="L23" s="50">
        <v>0</v>
      </c>
      <c r="M23" s="43"/>
      <c r="N23" s="50">
        <v>0</v>
      </c>
      <c r="O23" s="43"/>
      <c r="P23" s="50">
        <v>0</v>
      </c>
      <c r="R23" s="33"/>
      <c r="T23" s="10"/>
      <c r="V23" s="10"/>
    </row>
    <row r="24" spans="3:22" ht="27.95" customHeight="1" thickBot="1" x14ac:dyDescent="0.25">
      <c r="C24" s="43" t="s">
        <v>75</v>
      </c>
      <c r="D24" s="43"/>
      <c r="E24" s="52">
        <f>+SUM(E12:E23)</f>
        <v>2800</v>
      </c>
      <c r="F24" s="43"/>
      <c r="G24" s="46">
        <f>+SUM(G12:G23)</f>
        <v>24404</v>
      </c>
      <c r="H24" s="43"/>
      <c r="I24" s="46">
        <f>+SUM(I12:I23)</f>
        <v>700</v>
      </c>
      <c r="J24" s="43"/>
      <c r="K24" s="43"/>
      <c r="L24" s="52">
        <f>+SUM(L12:L23)</f>
        <v>1800</v>
      </c>
      <c r="M24" s="43"/>
      <c r="N24" s="46">
        <f>+SUM(N12:N23)</f>
        <v>15191</v>
      </c>
      <c r="O24" s="43"/>
      <c r="P24" s="46">
        <f>+SUM(P12:P23)</f>
        <v>450</v>
      </c>
    </row>
    <row r="25" spans="3:22" ht="14.1" customHeight="1" thickTop="1" x14ac:dyDescent="0.2">
      <c r="E25" s="33"/>
      <c r="L25" s="33"/>
    </row>
    <row r="26" spans="3:22" ht="14.1" customHeight="1" x14ac:dyDescent="0.2">
      <c r="C26" s="43"/>
      <c r="D26" s="43"/>
      <c r="E26" s="47"/>
      <c r="F26" s="43"/>
      <c r="G26" s="43"/>
      <c r="L26" s="33"/>
    </row>
    <row r="27" spans="3:22" ht="14.1" customHeight="1" x14ac:dyDescent="0.2">
      <c r="E27" s="33"/>
      <c r="L27" s="33"/>
    </row>
    <row r="28" spans="3:22" ht="14.1" customHeight="1" x14ac:dyDescent="0.2">
      <c r="C28" s="34"/>
      <c r="E28" s="33"/>
      <c r="G28" s="6"/>
      <c r="L28" s="33"/>
      <c r="N28" s="6"/>
    </row>
    <row r="29" spans="3:22" ht="14.1" customHeight="1" x14ac:dyDescent="0.2">
      <c r="E29" s="33"/>
      <c r="L29" s="33"/>
    </row>
    <row r="30" spans="3:22" ht="14.1" customHeight="1" x14ac:dyDescent="0.2">
      <c r="E30" s="33"/>
      <c r="L30" s="33"/>
    </row>
    <row r="31" spans="3:22" ht="14.1" customHeight="1" x14ac:dyDescent="0.2">
      <c r="E31" s="33"/>
      <c r="L31" s="33"/>
    </row>
    <row r="32" spans="3:22" ht="14.1" customHeight="1" x14ac:dyDescent="0.2">
      <c r="E32" s="33"/>
      <c r="L32" s="33"/>
    </row>
    <row r="33" spans="5:12" ht="14.1" customHeight="1" x14ac:dyDescent="0.2">
      <c r="E33" s="33"/>
      <c r="L33" s="33"/>
    </row>
    <row r="34" spans="5:12" ht="14.1" customHeight="1" x14ac:dyDescent="0.2">
      <c r="E34" s="33"/>
      <c r="L34" s="33"/>
    </row>
    <row r="35" spans="5:12" ht="14.1" customHeight="1" x14ac:dyDescent="0.2">
      <c r="E35" s="33"/>
      <c r="L35" s="33"/>
    </row>
    <row r="36" spans="5:12" ht="14.1" customHeight="1" x14ac:dyDescent="0.2">
      <c r="E36" s="33"/>
      <c r="L36" s="33"/>
    </row>
    <row r="37" spans="5:12" ht="14.1" customHeight="1" x14ac:dyDescent="0.2">
      <c r="E37" s="33"/>
      <c r="L37" s="33"/>
    </row>
    <row r="38" spans="5:12" ht="14.1" customHeight="1" x14ac:dyDescent="0.2">
      <c r="E38" s="33"/>
      <c r="L38" s="33"/>
    </row>
    <row r="39" spans="5:12" ht="14.1" customHeight="1" x14ac:dyDescent="0.2">
      <c r="E39" s="33"/>
      <c r="L39" s="33"/>
    </row>
    <row r="40" spans="5:12" ht="14.1" customHeight="1" x14ac:dyDescent="0.2">
      <c r="E40" s="33"/>
      <c r="L40" s="33"/>
    </row>
    <row r="41" spans="5:12" ht="14.1" customHeight="1" x14ac:dyDescent="0.2">
      <c r="E41" s="33"/>
      <c r="L41" s="33"/>
    </row>
    <row r="42" spans="5:12" ht="14.1" customHeight="1" x14ac:dyDescent="0.2">
      <c r="E42" s="33"/>
      <c r="L42" s="33"/>
    </row>
    <row r="43" spans="5:12" ht="14.1" customHeight="1" x14ac:dyDescent="0.2">
      <c r="E43" s="33"/>
      <c r="L43" s="33"/>
    </row>
    <row r="44" spans="5:12" ht="14.1" customHeight="1" x14ac:dyDescent="0.2">
      <c r="E44" s="33"/>
      <c r="L44" s="33"/>
    </row>
    <row r="45" spans="5:12" ht="14.1" customHeight="1" x14ac:dyDescent="0.2">
      <c r="E45" s="33"/>
      <c r="L45" s="33"/>
    </row>
    <row r="46" spans="5:12" ht="14.1" customHeight="1" x14ac:dyDescent="0.2">
      <c r="E46" s="33"/>
      <c r="L46" s="33"/>
    </row>
    <row r="47" spans="5:12" ht="14.1" customHeight="1" x14ac:dyDescent="0.2">
      <c r="E47" s="33"/>
      <c r="L47" s="33"/>
    </row>
    <row r="48" spans="5:12" ht="14.1" customHeight="1" x14ac:dyDescent="0.2">
      <c r="E48" s="33"/>
      <c r="L48" s="33"/>
    </row>
    <row r="49" spans="5:12" ht="14.1" customHeight="1" x14ac:dyDescent="0.2">
      <c r="E49" s="33"/>
      <c r="L49" s="33"/>
    </row>
    <row r="50" spans="5:12" ht="14.1" customHeight="1" x14ac:dyDescent="0.2">
      <c r="E50" s="33"/>
      <c r="L50" s="33"/>
    </row>
    <row r="51" spans="5:12" ht="14.1" customHeight="1" x14ac:dyDescent="0.2">
      <c r="E51" s="33"/>
      <c r="L51" s="33"/>
    </row>
    <row r="52" spans="5:12" ht="14.1" customHeight="1" x14ac:dyDescent="0.2">
      <c r="E52" s="33"/>
      <c r="L52" s="33"/>
    </row>
    <row r="53" spans="5:12" ht="14.1" customHeight="1" x14ac:dyDescent="0.2">
      <c r="E53" s="33"/>
      <c r="L53" s="33"/>
    </row>
    <row r="54" spans="5:12" ht="14.1" customHeight="1" x14ac:dyDescent="0.2">
      <c r="E54" s="33"/>
      <c r="L54" s="33"/>
    </row>
    <row r="55" spans="5:12" ht="14.1" customHeight="1" x14ac:dyDescent="0.2">
      <c r="E55" s="33"/>
      <c r="L55" s="33"/>
    </row>
    <row r="56" spans="5:12" ht="14.1" customHeight="1" x14ac:dyDescent="0.2">
      <c r="E56" s="33"/>
      <c r="L56" s="33"/>
    </row>
    <row r="57" spans="5:12" ht="14.1" customHeight="1" x14ac:dyDescent="0.2">
      <c r="E57" s="33"/>
      <c r="L57" s="33"/>
    </row>
    <row r="58" spans="5:12" ht="14.1" customHeight="1" x14ac:dyDescent="0.2">
      <c r="E58" s="33"/>
      <c r="L58" s="33"/>
    </row>
    <row r="59" spans="5:12" ht="14.1" customHeight="1" x14ac:dyDescent="0.2">
      <c r="E59" s="33"/>
      <c r="L59" s="33"/>
    </row>
    <row r="60" spans="5:12" ht="14.1" customHeight="1" x14ac:dyDescent="0.2">
      <c r="E60" s="33"/>
      <c r="L60" s="33"/>
    </row>
    <row r="61" spans="5:12" ht="14.1" customHeight="1" x14ac:dyDescent="0.2">
      <c r="E61" s="33"/>
      <c r="L61" s="33"/>
    </row>
    <row r="62" spans="5:12" ht="14.1" customHeight="1" x14ac:dyDescent="0.2">
      <c r="E62" s="33"/>
      <c r="L62" s="33"/>
    </row>
    <row r="63" spans="5:12" ht="14.1" customHeight="1" x14ac:dyDescent="0.2">
      <c r="E63" s="33"/>
      <c r="L63" s="33"/>
    </row>
    <row r="64" spans="5:12" ht="14.1" customHeight="1" x14ac:dyDescent="0.2">
      <c r="E64" s="33"/>
      <c r="L64" s="33"/>
    </row>
    <row r="65" spans="5:12" ht="14.1" customHeight="1" x14ac:dyDescent="0.2">
      <c r="E65" s="33"/>
      <c r="L65" s="33"/>
    </row>
    <row r="66" spans="5:12" ht="14.1" customHeight="1" x14ac:dyDescent="0.2">
      <c r="E66" s="33"/>
      <c r="L66" s="33"/>
    </row>
    <row r="67" spans="5:12" ht="14.1" customHeight="1" x14ac:dyDescent="0.2">
      <c r="E67" s="33"/>
      <c r="L67" s="33"/>
    </row>
    <row r="68" spans="5:12" ht="14.1" customHeight="1" x14ac:dyDescent="0.2">
      <c r="E68" s="33"/>
      <c r="L68" s="33"/>
    </row>
    <row r="69" spans="5:12" ht="14.1" customHeight="1" x14ac:dyDescent="0.2">
      <c r="E69" s="33"/>
      <c r="L69" s="33"/>
    </row>
    <row r="70" spans="5:12" ht="14.1" customHeight="1" x14ac:dyDescent="0.2">
      <c r="E70" s="33"/>
      <c r="L70" s="33"/>
    </row>
    <row r="71" spans="5:12" ht="14.1" customHeight="1" x14ac:dyDescent="0.2">
      <c r="E71" s="33"/>
      <c r="L71" s="33"/>
    </row>
    <row r="72" spans="5:12" ht="14.1" customHeight="1" x14ac:dyDescent="0.2">
      <c r="E72" s="33"/>
      <c r="L72" s="33"/>
    </row>
    <row r="73" spans="5:12" ht="14.1" customHeight="1" x14ac:dyDescent="0.2">
      <c r="E73" s="33"/>
      <c r="L73" s="33"/>
    </row>
    <row r="74" spans="5:12" ht="14.1" customHeight="1" x14ac:dyDescent="0.2">
      <c r="E74" s="33"/>
      <c r="L74" s="33"/>
    </row>
    <row r="75" spans="5:12" ht="14.1" customHeight="1" x14ac:dyDescent="0.2">
      <c r="E75" s="33"/>
      <c r="L75" s="33"/>
    </row>
    <row r="76" spans="5:12" ht="14.1" customHeight="1" x14ac:dyDescent="0.2">
      <c r="E76" s="33"/>
      <c r="L76" s="33"/>
    </row>
    <row r="77" spans="5:12" ht="14.1" customHeight="1" x14ac:dyDescent="0.2">
      <c r="E77" s="33"/>
      <c r="L77" s="33"/>
    </row>
    <row r="78" spans="5:12" ht="14.1" customHeight="1" x14ac:dyDescent="0.2">
      <c r="E78" s="33"/>
      <c r="L78" s="33"/>
    </row>
    <row r="79" spans="5:12" ht="14.1" customHeight="1" x14ac:dyDescent="0.2">
      <c r="E79" s="33"/>
      <c r="L79" s="33"/>
    </row>
    <row r="80" spans="5:12" ht="14.1" customHeight="1" x14ac:dyDescent="0.2">
      <c r="E80" s="33"/>
      <c r="L80" s="33"/>
    </row>
    <row r="81" spans="5:12" ht="14.1" customHeight="1" x14ac:dyDescent="0.2">
      <c r="E81" s="33"/>
      <c r="L81" s="33"/>
    </row>
    <row r="82" spans="5:12" ht="14.1" customHeight="1" x14ac:dyDescent="0.2">
      <c r="E82" s="33"/>
      <c r="L82" s="33"/>
    </row>
    <row r="83" spans="5:12" ht="14.1" customHeight="1" x14ac:dyDescent="0.2">
      <c r="E83" s="33"/>
      <c r="L83" s="33"/>
    </row>
    <row r="84" spans="5:12" ht="14.1" customHeight="1" x14ac:dyDescent="0.2">
      <c r="E84" s="33"/>
      <c r="L84" s="33"/>
    </row>
    <row r="85" spans="5:12" ht="14.1" customHeight="1" x14ac:dyDescent="0.2">
      <c r="E85" s="33"/>
      <c r="L85" s="33"/>
    </row>
    <row r="86" spans="5:12" ht="14.1" customHeight="1" x14ac:dyDescent="0.2">
      <c r="E86" s="33"/>
      <c r="L86" s="33"/>
    </row>
    <row r="87" spans="5:12" ht="14.1" customHeight="1" x14ac:dyDescent="0.2">
      <c r="E87" s="33"/>
      <c r="L87" s="33"/>
    </row>
    <row r="88" spans="5:12" ht="14.1" customHeight="1" x14ac:dyDescent="0.2">
      <c r="E88" s="33"/>
      <c r="L88" s="33"/>
    </row>
    <row r="89" spans="5:12" ht="14.1" customHeight="1" x14ac:dyDescent="0.2">
      <c r="E89" s="33"/>
      <c r="L89" s="33"/>
    </row>
    <row r="90" spans="5:12" ht="14.1" customHeight="1" x14ac:dyDescent="0.2">
      <c r="E90" s="33"/>
      <c r="L90" s="33"/>
    </row>
    <row r="91" spans="5:12" ht="14.1" customHeight="1" x14ac:dyDescent="0.2">
      <c r="E91" s="33"/>
      <c r="L91" s="33"/>
    </row>
    <row r="92" spans="5:12" ht="14.1" customHeight="1" x14ac:dyDescent="0.2">
      <c r="E92" s="33"/>
      <c r="L92" s="33"/>
    </row>
    <row r="93" spans="5:12" ht="14.1" customHeight="1" x14ac:dyDescent="0.2">
      <c r="E93" s="33"/>
      <c r="L93" s="33"/>
    </row>
    <row r="94" spans="5:12" ht="14.1" customHeight="1" x14ac:dyDescent="0.2">
      <c r="E94" s="33"/>
      <c r="L94" s="33"/>
    </row>
    <row r="95" spans="5:12" ht="14.1" customHeight="1" x14ac:dyDescent="0.2">
      <c r="E95" s="33"/>
      <c r="L95" s="33"/>
    </row>
    <row r="96" spans="5:12" ht="14.1" customHeight="1" x14ac:dyDescent="0.2">
      <c r="E96" s="33"/>
      <c r="L96" s="33"/>
    </row>
    <row r="97" spans="5:12" ht="14.1" customHeight="1" x14ac:dyDescent="0.2">
      <c r="E97" s="33"/>
      <c r="L97" s="33"/>
    </row>
    <row r="98" spans="5:12" ht="14.1" customHeight="1" x14ac:dyDescent="0.2">
      <c r="E98" s="33"/>
      <c r="L98" s="33"/>
    </row>
    <row r="99" spans="5:12" ht="14.1" customHeight="1" x14ac:dyDescent="0.2">
      <c r="E99" s="33"/>
      <c r="L99" s="33"/>
    </row>
    <row r="100" spans="5:12" ht="14.1" customHeight="1" x14ac:dyDescent="0.2">
      <c r="E100" s="33"/>
      <c r="L100" s="33"/>
    </row>
    <row r="101" spans="5:12" ht="14.1" customHeight="1" x14ac:dyDescent="0.2">
      <c r="E101" s="33"/>
      <c r="L101" s="33"/>
    </row>
    <row r="102" spans="5:12" ht="14.1" customHeight="1" x14ac:dyDescent="0.2">
      <c r="E102" s="33"/>
      <c r="L102" s="33"/>
    </row>
    <row r="103" spans="5:12" ht="14.1" customHeight="1" x14ac:dyDescent="0.2">
      <c r="E103" s="33"/>
      <c r="L103" s="33"/>
    </row>
    <row r="104" spans="5:12" ht="14.1" customHeight="1" x14ac:dyDescent="0.2">
      <c r="E104" s="33"/>
      <c r="L104" s="33"/>
    </row>
    <row r="105" spans="5:12" ht="14.1" customHeight="1" x14ac:dyDescent="0.2">
      <c r="E105" s="33"/>
      <c r="L105" s="33"/>
    </row>
    <row r="106" spans="5:12" ht="14.1" customHeight="1" x14ac:dyDescent="0.2">
      <c r="E106" s="33"/>
      <c r="L106" s="33"/>
    </row>
    <row r="107" spans="5:12" ht="14.1" customHeight="1" x14ac:dyDescent="0.2">
      <c r="E107" s="33"/>
      <c r="L107" s="33"/>
    </row>
    <row r="108" spans="5:12" ht="14.1" customHeight="1" x14ac:dyDescent="0.2">
      <c r="E108" s="33"/>
      <c r="L108" s="33"/>
    </row>
    <row r="109" spans="5:12" ht="14.1" customHeight="1" x14ac:dyDescent="0.2">
      <c r="E109" s="33"/>
      <c r="L109" s="33"/>
    </row>
    <row r="110" spans="5:12" ht="14.1" customHeight="1" x14ac:dyDescent="0.2">
      <c r="E110" s="33"/>
      <c r="L110" s="33"/>
    </row>
    <row r="111" spans="5:12" ht="14.1" customHeight="1" x14ac:dyDescent="0.2">
      <c r="E111" s="33"/>
      <c r="L111" s="33"/>
    </row>
    <row r="112" spans="5:12" ht="14.1" customHeight="1" x14ac:dyDescent="0.2">
      <c r="E112" s="33"/>
      <c r="L112" s="33"/>
    </row>
    <row r="113" spans="5:12" ht="14.1" customHeight="1" x14ac:dyDescent="0.2">
      <c r="E113" s="33"/>
      <c r="L113" s="33"/>
    </row>
    <row r="114" spans="5:12" ht="14.1" customHeight="1" x14ac:dyDescent="0.2">
      <c r="E114" s="33"/>
      <c r="L114" s="33"/>
    </row>
    <row r="115" spans="5:12" ht="14.1" customHeight="1" x14ac:dyDescent="0.2">
      <c r="E115" s="33"/>
      <c r="L115" s="33"/>
    </row>
    <row r="116" spans="5:12" ht="14.1" customHeight="1" x14ac:dyDescent="0.2">
      <c r="E116" s="33"/>
      <c r="L116" s="33"/>
    </row>
    <row r="117" spans="5:12" ht="14.1" customHeight="1" x14ac:dyDescent="0.2">
      <c r="E117" s="33"/>
      <c r="L117" s="33"/>
    </row>
    <row r="118" spans="5:12" ht="14.1" customHeight="1" x14ac:dyDescent="0.2">
      <c r="E118" s="33"/>
      <c r="L118" s="33"/>
    </row>
    <row r="119" spans="5:12" ht="14.1" customHeight="1" x14ac:dyDescent="0.2">
      <c r="E119" s="33"/>
      <c r="L119" s="33"/>
    </row>
    <row r="120" spans="5:12" ht="14.1" customHeight="1" x14ac:dyDescent="0.2">
      <c r="E120" s="33"/>
      <c r="L120" s="33"/>
    </row>
    <row r="121" spans="5:12" ht="14.1" customHeight="1" x14ac:dyDescent="0.2">
      <c r="E121" s="33"/>
      <c r="L121" s="33"/>
    </row>
    <row r="122" spans="5:12" ht="14.1" customHeight="1" x14ac:dyDescent="0.2">
      <c r="E122" s="33"/>
      <c r="L122" s="33"/>
    </row>
    <row r="123" spans="5:12" ht="14.1" customHeight="1" x14ac:dyDescent="0.2">
      <c r="E123" s="33"/>
      <c r="L123" s="33"/>
    </row>
    <row r="124" spans="5:12" ht="14.1" customHeight="1" x14ac:dyDescent="0.2">
      <c r="E124" s="33"/>
      <c r="L124" s="33"/>
    </row>
    <row r="125" spans="5:12" ht="14.1" customHeight="1" x14ac:dyDescent="0.2">
      <c r="E125" s="33"/>
      <c r="L125" s="33"/>
    </row>
    <row r="126" spans="5:12" ht="14.1" customHeight="1" x14ac:dyDescent="0.2">
      <c r="E126" s="33"/>
      <c r="L126" s="33"/>
    </row>
    <row r="127" spans="5:12" ht="14.1" customHeight="1" x14ac:dyDescent="0.2">
      <c r="E127" s="33"/>
      <c r="L127" s="33"/>
    </row>
    <row r="128" spans="5:12" ht="14.1" customHeight="1" x14ac:dyDescent="0.2">
      <c r="E128" s="33"/>
      <c r="L128" s="33"/>
    </row>
    <row r="129" spans="5:12" ht="14.1" customHeight="1" x14ac:dyDescent="0.2">
      <c r="E129" s="33"/>
      <c r="L129" s="33"/>
    </row>
    <row r="130" spans="5:12" ht="14.1" customHeight="1" x14ac:dyDescent="0.2">
      <c r="E130" s="33"/>
      <c r="L130" s="33"/>
    </row>
  </sheetData>
  <mergeCells count="3">
    <mergeCell ref="B1:P1"/>
    <mergeCell ref="E8:I8"/>
    <mergeCell ref="L8:P8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3"/>
  <sheetViews>
    <sheetView topLeftCell="A136" zoomScaleNormal="100" workbookViewId="0">
      <selection activeCell="P162" sqref="P162"/>
    </sheetView>
  </sheetViews>
  <sheetFormatPr defaultRowHeight="14.1" customHeight="1" x14ac:dyDescent="0.2"/>
  <cols>
    <col min="1" max="1" width="26.28515625" style="1" customWidth="1"/>
    <col min="2" max="2" width="10.85546875" style="1" customWidth="1"/>
    <col min="3" max="3" width="10.28515625" style="1" customWidth="1"/>
    <col min="4" max="4" width="10.7109375" style="1" customWidth="1"/>
    <col min="5" max="6" width="11.42578125" style="1" customWidth="1"/>
    <col min="7" max="7" width="13.42578125" style="1" customWidth="1"/>
    <col min="8" max="8" width="10.28515625" style="1" customWidth="1"/>
    <col min="9" max="9" width="11.28515625" style="1" customWidth="1"/>
    <col min="10" max="10" width="10.28515625" style="1" bestFit="1" customWidth="1"/>
    <col min="11" max="11" width="9.7109375" style="1" customWidth="1"/>
    <col min="12" max="12" width="12" style="1" customWidth="1"/>
    <col min="13" max="13" width="10.28515625" style="1" customWidth="1"/>
    <col min="14" max="14" width="13" style="1" customWidth="1"/>
    <col min="15" max="16" width="9.140625" style="1"/>
    <col min="17" max="17" width="10.7109375" style="1" bestFit="1" customWidth="1"/>
    <col min="18" max="16384" width="9.140625" style="1"/>
  </cols>
  <sheetData>
    <row r="1" spans="1:19" s="2" customFormat="1" ht="18" customHeight="1" x14ac:dyDescent="0.2">
      <c r="B1" s="16"/>
      <c r="C1" s="16"/>
      <c r="D1" s="17" t="s">
        <v>0</v>
      </c>
      <c r="E1" s="16"/>
      <c r="F1"/>
      <c r="G1"/>
      <c r="H1" s="7"/>
      <c r="I1" s="16"/>
      <c r="J1" s="7"/>
      <c r="K1" s="7"/>
    </row>
    <row r="2" spans="1:19" s="2" customFormat="1" ht="18" customHeight="1" x14ac:dyDescent="0.2">
      <c r="B2" s="16"/>
      <c r="C2" s="7"/>
      <c r="D2" s="18" t="str">
        <f>SUMMARY!B2</f>
        <v>2015 Annual Budget</v>
      </c>
      <c r="E2" s="16"/>
      <c r="F2"/>
      <c r="G2"/>
      <c r="H2" s="7"/>
      <c r="I2" s="16"/>
      <c r="J2" s="7"/>
      <c r="K2" s="7"/>
    </row>
    <row r="3" spans="1:19" s="2" customFormat="1" ht="18" customHeight="1" x14ac:dyDescent="0.2">
      <c r="B3" s="16"/>
      <c r="C3" s="16"/>
      <c r="D3" s="17"/>
      <c r="E3" s="16"/>
      <c r="F3"/>
      <c r="G3"/>
      <c r="H3" s="7"/>
      <c r="I3" s="16"/>
      <c r="J3" s="7"/>
      <c r="K3" s="7"/>
    </row>
    <row r="4" spans="1:19" s="2" customFormat="1" ht="18" customHeight="1" x14ac:dyDescent="0.2">
      <c r="B4" s="16"/>
      <c r="C4" s="16"/>
      <c r="D4" s="17" t="s">
        <v>1</v>
      </c>
      <c r="E4" s="16"/>
      <c r="F4"/>
      <c r="G4"/>
      <c r="H4" s="7"/>
      <c r="I4" s="16"/>
      <c r="J4" s="7"/>
      <c r="K4" s="7"/>
    </row>
    <row r="5" spans="1:19" ht="18" customHeight="1" x14ac:dyDescent="0.2">
      <c r="B5" s="40"/>
      <c r="D5" s="38"/>
    </row>
    <row r="6" spans="1:19" ht="15.75" customHeight="1" x14ac:dyDescent="0.35">
      <c r="B6" s="69" t="s">
        <v>96</v>
      </c>
      <c r="C6" s="69" t="s">
        <v>97</v>
      </c>
      <c r="D6" s="69" t="s">
        <v>98</v>
      </c>
      <c r="E6" s="69" t="s">
        <v>99</v>
      </c>
      <c r="F6" s="69" t="s">
        <v>100</v>
      </c>
      <c r="G6" s="69" t="s">
        <v>101</v>
      </c>
      <c r="H6" s="69" t="s">
        <v>102</v>
      </c>
      <c r="I6" s="69" t="s">
        <v>103</v>
      </c>
      <c r="J6" s="69" t="s">
        <v>104</v>
      </c>
      <c r="K6" s="69" t="s">
        <v>105</v>
      </c>
      <c r="L6" s="69" t="s">
        <v>106</v>
      </c>
      <c r="M6" s="69" t="s">
        <v>107</v>
      </c>
      <c r="N6" s="70" t="s">
        <v>2</v>
      </c>
      <c r="O6" s="80" t="s">
        <v>91</v>
      </c>
    </row>
    <row r="7" spans="1:19" ht="15.75" customHeight="1" x14ac:dyDescent="0.2">
      <c r="A7" s="68" t="s">
        <v>108</v>
      </c>
      <c r="B7" s="40"/>
      <c r="D7" s="38"/>
    </row>
    <row r="8" spans="1:19" ht="15.75" customHeight="1" x14ac:dyDescent="0.2">
      <c r="A8" s="67" t="s">
        <v>3</v>
      </c>
      <c r="B8" s="99">
        <v>600</v>
      </c>
      <c r="C8" s="99">
        <v>600</v>
      </c>
      <c r="D8" s="99">
        <v>600</v>
      </c>
      <c r="E8" s="99">
        <v>600</v>
      </c>
      <c r="F8" s="99">
        <v>600</v>
      </c>
      <c r="G8" s="99">
        <v>600</v>
      </c>
      <c r="H8" s="99">
        <v>600</v>
      </c>
      <c r="I8" s="99">
        <v>600</v>
      </c>
      <c r="J8" s="99">
        <v>600</v>
      </c>
      <c r="K8" s="99">
        <v>600</v>
      </c>
      <c r="L8" s="99">
        <v>600</v>
      </c>
      <c r="M8" s="99">
        <v>600</v>
      </c>
      <c r="N8" s="1">
        <f>SUM(B8:M8)</f>
        <v>7200</v>
      </c>
      <c r="O8" s="82">
        <f t="shared" ref="O8:O19" si="0">N8/$N$24</f>
        <v>6.6666666666666666E-2</v>
      </c>
    </row>
    <row r="9" spans="1:19" ht="15.75" customHeight="1" x14ac:dyDescent="0.2">
      <c r="A9" s="67" t="s">
        <v>63</v>
      </c>
      <c r="B9" s="99">
        <v>100</v>
      </c>
      <c r="C9" s="99">
        <v>100</v>
      </c>
      <c r="D9" s="99">
        <v>100</v>
      </c>
      <c r="E9" s="99">
        <v>100</v>
      </c>
      <c r="F9" s="99">
        <v>100</v>
      </c>
      <c r="G9" s="99">
        <v>100</v>
      </c>
      <c r="H9" s="99">
        <v>100</v>
      </c>
      <c r="I9" s="99">
        <v>100</v>
      </c>
      <c r="J9" s="99">
        <v>100</v>
      </c>
      <c r="K9" s="99">
        <v>100</v>
      </c>
      <c r="L9" s="99">
        <v>100</v>
      </c>
      <c r="M9" s="99">
        <v>100</v>
      </c>
      <c r="N9" s="1">
        <f>SUM(B9:M9)</f>
        <v>1200</v>
      </c>
      <c r="O9" s="82">
        <f t="shared" si="0"/>
        <v>1.1111111111111112E-2</v>
      </c>
    </row>
    <row r="10" spans="1:19" ht="15.75" customHeight="1" x14ac:dyDescent="0.2">
      <c r="A10" s="67" t="s">
        <v>4</v>
      </c>
      <c r="B10" s="99">
        <v>1300</v>
      </c>
      <c r="C10" s="99">
        <v>1300</v>
      </c>
      <c r="D10" s="99">
        <v>1300</v>
      </c>
      <c r="E10" s="99">
        <v>1300</v>
      </c>
      <c r="F10" s="99">
        <v>1300</v>
      </c>
      <c r="G10" s="99">
        <v>1300</v>
      </c>
      <c r="H10" s="99">
        <v>1300</v>
      </c>
      <c r="I10" s="99">
        <v>1300</v>
      </c>
      <c r="J10" s="99">
        <v>1300</v>
      </c>
      <c r="K10" s="99">
        <v>1300</v>
      </c>
      <c r="L10" s="99">
        <v>1300</v>
      </c>
      <c r="M10" s="99">
        <v>1300</v>
      </c>
      <c r="N10" s="1">
        <f t="shared" ref="N10:N23" si="1">SUM(B10:M10)</f>
        <v>15600</v>
      </c>
      <c r="O10" s="82">
        <f t="shared" si="0"/>
        <v>0.14444444444444443</v>
      </c>
    </row>
    <row r="11" spans="1:19" ht="15.75" customHeight="1" x14ac:dyDescent="0.2">
      <c r="A11" s="67" t="s">
        <v>5</v>
      </c>
      <c r="B11" s="99">
        <v>400</v>
      </c>
      <c r="C11" s="99">
        <v>400</v>
      </c>
      <c r="D11" s="99">
        <v>400</v>
      </c>
      <c r="E11" s="99">
        <v>400</v>
      </c>
      <c r="F11" s="99">
        <v>400</v>
      </c>
      <c r="G11" s="99">
        <v>400</v>
      </c>
      <c r="H11" s="99">
        <v>400</v>
      </c>
      <c r="I11" s="99">
        <v>400</v>
      </c>
      <c r="J11" s="99">
        <v>400</v>
      </c>
      <c r="K11" s="99">
        <v>400</v>
      </c>
      <c r="L11" s="99">
        <v>400</v>
      </c>
      <c r="M11" s="99">
        <v>400</v>
      </c>
      <c r="N11" s="1">
        <f t="shared" si="1"/>
        <v>4800</v>
      </c>
      <c r="O11" s="82">
        <f t="shared" si="0"/>
        <v>4.4444444444444446E-2</v>
      </c>
      <c r="Q11" s="122"/>
      <c r="R11" s="122"/>
      <c r="S11" s="122"/>
    </row>
    <row r="12" spans="1:19" ht="15.75" customHeight="1" x14ac:dyDescent="0.2">
      <c r="A12" s="67" t="s">
        <v>66</v>
      </c>
      <c r="B12" s="99">
        <v>300</v>
      </c>
      <c r="C12" s="99">
        <v>300</v>
      </c>
      <c r="D12" s="99">
        <v>300</v>
      </c>
      <c r="E12" s="99">
        <v>300</v>
      </c>
      <c r="F12" s="99">
        <v>300</v>
      </c>
      <c r="G12" s="99">
        <v>300</v>
      </c>
      <c r="H12" s="99">
        <v>300</v>
      </c>
      <c r="I12" s="99">
        <v>300</v>
      </c>
      <c r="J12" s="99">
        <v>300</v>
      </c>
      <c r="K12" s="99">
        <v>300</v>
      </c>
      <c r="L12" s="99">
        <v>300</v>
      </c>
      <c r="M12" s="99">
        <v>300</v>
      </c>
      <c r="N12" s="1">
        <f t="shared" si="1"/>
        <v>3600</v>
      </c>
      <c r="O12" s="82">
        <f t="shared" si="0"/>
        <v>3.3333333333333333E-2</v>
      </c>
      <c r="Q12" s="122"/>
      <c r="R12" s="122"/>
      <c r="S12" s="122"/>
    </row>
    <row r="13" spans="1:19" ht="15.75" customHeight="1" x14ac:dyDescent="0.2">
      <c r="A13" s="67" t="s">
        <v>67</v>
      </c>
      <c r="B13" s="99">
        <v>200</v>
      </c>
      <c r="C13" s="99">
        <v>200</v>
      </c>
      <c r="D13" s="99">
        <v>200</v>
      </c>
      <c r="E13" s="99">
        <v>200</v>
      </c>
      <c r="F13" s="99">
        <v>200</v>
      </c>
      <c r="G13" s="99">
        <v>200</v>
      </c>
      <c r="H13" s="99">
        <v>200</v>
      </c>
      <c r="I13" s="99">
        <v>200</v>
      </c>
      <c r="J13" s="99">
        <v>200</v>
      </c>
      <c r="K13" s="99">
        <v>200</v>
      </c>
      <c r="L13" s="99">
        <v>200</v>
      </c>
      <c r="M13" s="99">
        <v>200</v>
      </c>
      <c r="N13" s="1">
        <f t="shared" si="1"/>
        <v>2400</v>
      </c>
      <c r="O13" s="82">
        <f t="shared" si="0"/>
        <v>2.2222222222222223E-2</v>
      </c>
      <c r="Q13" s="122"/>
      <c r="R13" s="122"/>
      <c r="S13" s="122"/>
    </row>
    <row r="14" spans="1:19" ht="15.75" customHeight="1" x14ac:dyDescent="0.2">
      <c r="A14" s="67" t="s">
        <v>6</v>
      </c>
      <c r="B14" s="99">
        <v>1300</v>
      </c>
      <c r="C14" s="99">
        <v>1300</v>
      </c>
      <c r="D14" s="99">
        <v>1300</v>
      </c>
      <c r="E14" s="99">
        <v>1300</v>
      </c>
      <c r="F14" s="99">
        <v>1300</v>
      </c>
      <c r="G14" s="99">
        <v>1300</v>
      </c>
      <c r="H14" s="99">
        <v>1300</v>
      </c>
      <c r="I14" s="99">
        <v>1300</v>
      </c>
      <c r="J14" s="99">
        <v>1300</v>
      </c>
      <c r="K14" s="99">
        <v>1300</v>
      </c>
      <c r="L14" s="99">
        <v>1300</v>
      </c>
      <c r="M14" s="99">
        <v>1300</v>
      </c>
      <c r="N14" s="1">
        <f t="shared" si="1"/>
        <v>15600</v>
      </c>
      <c r="O14" s="82">
        <f t="shared" si="0"/>
        <v>0.14444444444444443</v>
      </c>
      <c r="Q14" s="122"/>
      <c r="R14" s="122"/>
      <c r="S14" s="122"/>
    </row>
    <row r="15" spans="1:19" ht="15.75" customHeight="1" x14ac:dyDescent="0.2">
      <c r="A15" s="67" t="s">
        <v>7</v>
      </c>
      <c r="B15" s="99">
        <v>400</v>
      </c>
      <c r="C15" s="99">
        <v>400</v>
      </c>
      <c r="D15" s="99">
        <v>400</v>
      </c>
      <c r="E15" s="99">
        <v>400</v>
      </c>
      <c r="F15" s="99">
        <v>400</v>
      </c>
      <c r="G15" s="99">
        <v>400</v>
      </c>
      <c r="H15" s="99">
        <v>400</v>
      </c>
      <c r="I15" s="99">
        <v>400</v>
      </c>
      <c r="J15" s="99">
        <v>400</v>
      </c>
      <c r="K15" s="99">
        <v>400</v>
      </c>
      <c r="L15" s="99">
        <v>400</v>
      </c>
      <c r="M15" s="99">
        <v>400</v>
      </c>
      <c r="N15" s="1">
        <f t="shared" si="1"/>
        <v>4800</v>
      </c>
      <c r="O15" s="82">
        <f t="shared" si="0"/>
        <v>4.4444444444444446E-2</v>
      </c>
    </row>
    <row r="16" spans="1:19" ht="15.75" customHeight="1" x14ac:dyDescent="0.2">
      <c r="A16" s="67" t="s">
        <v>8</v>
      </c>
      <c r="B16" s="99">
        <v>500</v>
      </c>
      <c r="C16" s="99">
        <v>500</v>
      </c>
      <c r="D16" s="99">
        <v>500</v>
      </c>
      <c r="E16" s="99">
        <v>500</v>
      </c>
      <c r="F16" s="99">
        <v>500</v>
      </c>
      <c r="G16" s="99">
        <v>500</v>
      </c>
      <c r="H16" s="99">
        <v>500</v>
      </c>
      <c r="I16" s="99">
        <v>500</v>
      </c>
      <c r="J16" s="99">
        <v>500</v>
      </c>
      <c r="K16" s="99">
        <v>500</v>
      </c>
      <c r="L16" s="99">
        <v>500</v>
      </c>
      <c r="M16" s="99">
        <v>500</v>
      </c>
      <c r="N16" s="1">
        <f t="shared" si="1"/>
        <v>6000</v>
      </c>
      <c r="O16" s="82">
        <f t="shared" si="0"/>
        <v>5.5555555555555552E-2</v>
      </c>
    </row>
    <row r="17" spans="1:15" ht="15.75" customHeight="1" x14ac:dyDescent="0.2">
      <c r="A17" s="67" t="s">
        <v>71</v>
      </c>
      <c r="B17" s="99">
        <v>200</v>
      </c>
      <c r="C17" s="99">
        <v>200</v>
      </c>
      <c r="D17" s="99">
        <v>200</v>
      </c>
      <c r="E17" s="99">
        <v>200</v>
      </c>
      <c r="F17" s="99">
        <v>200</v>
      </c>
      <c r="G17" s="99">
        <v>200</v>
      </c>
      <c r="H17" s="99">
        <v>200</v>
      </c>
      <c r="I17" s="99">
        <v>200</v>
      </c>
      <c r="J17" s="99">
        <v>200</v>
      </c>
      <c r="K17" s="99">
        <v>200</v>
      </c>
      <c r="L17" s="99">
        <v>200</v>
      </c>
      <c r="M17" s="99">
        <v>200</v>
      </c>
      <c r="N17" s="1">
        <f t="shared" si="1"/>
        <v>2400</v>
      </c>
      <c r="O17" s="82">
        <f t="shared" si="0"/>
        <v>2.2222222222222223E-2</v>
      </c>
    </row>
    <row r="18" spans="1:15" ht="15.75" customHeight="1" x14ac:dyDescent="0.2">
      <c r="A18" s="67" t="s">
        <v>9</v>
      </c>
      <c r="B18" s="99">
        <v>400</v>
      </c>
      <c r="C18" s="99">
        <v>400</v>
      </c>
      <c r="D18" s="99">
        <v>400</v>
      </c>
      <c r="E18" s="99">
        <v>400</v>
      </c>
      <c r="F18" s="99">
        <v>400</v>
      </c>
      <c r="G18" s="99">
        <v>400</v>
      </c>
      <c r="H18" s="99">
        <v>400</v>
      </c>
      <c r="I18" s="99">
        <v>400</v>
      </c>
      <c r="J18" s="99">
        <v>400</v>
      </c>
      <c r="K18" s="99">
        <v>400</v>
      </c>
      <c r="L18" s="99">
        <v>400</v>
      </c>
      <c r="M18" s="99">
        <v>400</v>
      </c>
      <c r="N18" s="1">
        <f t="shared" si="1"/>
        <v>4800</v>
      </c>
      <c r="O18" s="82">
        <f t="shared" si="0"/>
        <v>4.4444444444444446E-2</v>
      </c>
    </row>
    <row r="19" spans="1:15" ht="15.75" customHeight="1" x14ac:dyDescent="0.2">
      <c r="A19" s="67" t="s">
        <v>10</v>
      </c>
      <c r="B19" s="99">
        <v>1000</v>
      </c>
      <c r="C19" s="99">
        <v>1000</v>
      </c>
      <c r="D19" s="99">
        <v>1000</v>
      </c>
      <c r="E19" s="99">
        <v>1000</v>
      </c>
      <c r="F19" s="99">
        <v>1000</v>
      </c>
      <c r="G19" s="99">
        <v>1000</v>
      </c>
      <c r="H19" s="99">
        <v>1000</v>
      </c>
      <c r="I19" s="99">
        <v>1000</v>
      </c>
      <c r="J19" s="99">
        <v>1000</v>
      </c>
      <c r="K19" s="99">
        <v>1000</v>
      </c>
      <c r="L19" s="99">
        <v>1000</v>
      </c>
      <c r="M19" s="99">
        <v>1000</v>
      </c>
      <c r="N19" s="1">
        <f t="shared" si="1"/>
        <v>12000</v>
      </c>
      <c r="O19" s="82">
        <f t="shared" si="0"/>
        <v>0.1111111111111111</v>
      </c>
    </row>
    <row r="20" spans="1:15" ht="15.75" customHeight="1" x14ac:dyDescent="0.2">
      <c r="A20" s="67" t="s">
        <v>73</v>
      </c>
      <c r="B20" s="99">
        <v>100</v>
      </c>
      <c r="C20" s="99">
        <v>100</v>
      </c>
      <c r="D20" s="99">
        <v>100</v>
      </c>
      <c r="E20" s="99">
        <v>100</v>
      </c>
      <c r="F20" s="99">
        <v>100</v>
      </c>
      <c r="G20" s="99">
        <v>100</v>
      </c>
      <c r="H20" s="99">
        <v>100</v>
      </c>
      <c r="I20" s="99">
        <v>100</v>
      </c>
      <c r="J20" s="99">
        <v>100</v>
      </c>
      <c r="K20" s="99">
        <v>100</v>
      </c>
      <c r="L20" s="99">
        <v>100</v>
      </c>
      <c r="M20" s="99">
        <v>100</v>
      </c>
      <c r="N20" s="1">
        <f t="shared" si="1"/>
        <v>1200</v>
      </c>
      <c r="O20" s="82">
        <f t="shared" ref="O20:O22" si="2">N20/$N$24</f>
        <v>1.1111111111111112E-2</v>
      </c>
    </row>
    <row r="21" spans="1:15" ht="15.75" customHeight="1" x14ac:dyDescent="0.2">
      <c r="A21" s="67" t="s">
        <v>72</v>
      </c>
      <c r="B21" s="99">
        <v>100</v>
      </c>
      <c r="C21" s="99">
        <v>100</v>
      </c>
      <c r="D21" s="99">
        <v>100</v>
      </c>
      <c r="E21" s="99">
        <v>100</v>
      </c>
      <c r="F21" s="99">
        <v>100</v>
      </c>
      <c r="G21" s="99">
        <v>100</v>
      </c>
      <c r="H21" s="99">
        <v>100</v>
      </c>
      <c r="I21" s="99">
        <v>100</v>
      </c>
      <c r="J21" s="99">
        <v>100</v>
      </c>
      <c r="K21" s="99">
        <v>100</v>
      </c>
      <c r="L21" s="99">
        <v>100</v>
      </c>
      <c r="M21" s="99">
        <v>100</v>
      </c>
      <c r="N21" s="1">
        <f t="shared" si="1"/>
        <v>1200</v>
      </c>
      <c r="O21" s="82">
        <f t="shared" si="2"/>
        <v>1.1111111111111112E-2</v>
      </c>
    </row>
    <row r="22" spans="1:15" ht="15.75" customHeight="1" x14ac:dyDescent="0.2">
      <c r="A22" s="67" t="s">
        <v>74</v>
      </c>
      <c r="B22" s="99">
        <v>300</v>
      </c>
      <c r="C22" s="99">
        <v>300</v>
      </c>
      <c r="D22" s="99">
        <v>300</v>
      </c>
      <c r="E22" s="99">
        <v>300</v>
      </c>
      <c r="F22" s="99">
        <v>300</v>
      </c>
      <c r="G22" s="99">
        <v>300</v>
      </c>
      <c r="H22" s="99">
        <v>300</v>
      </c>
      <c r="I22" s="99">
        <v>300</v>
      </c>
      <c r="J22" s="99">
        <v>300</v>
      </c>
      <c r="K22" s="99">
        <v>300</v>
      </c>
      <c r="L22" s="99">
        <v>300</v>
      </c>
      <c r="M22" s="99">
        <v>300</v>
      </c>
      <c r="N22" s="1">
        <f t="shared" si="1"/>
        <v>3600</v>
      </c>
      <c r="O22" s="82">
        <f t="shared" si="2"/>
        <v>3.3333333333333333E-2</v>
      </c>
    </row>
    <row r="23" spans="1:15" ht="15.75" customHeight="1" x14ac:dyDescent="0.2">
      <c r="A23" s="67" t="s">
        <v>11</v>
      </c>
      <c r="B23" s="100">
        <v>1800</v>
      </c>
      <c r="C23" s="100">
        <v>1800</v>
      </c>
      <c r="D23" s="100">
        <v>1800</v>
      </c>
      <c r="E23" s="100">
        <v>1800</v>
      </c>
      <c r="F23" s="100">
        <v>1800</v>
      </c>
      <c r="G23" s="100">
        <v>1800</v>
      </c>
      <c r="H23" s="100">
        <v>1800</v>
      </c>
      <c r="I23" s="100">
        <v>1800</v>
      </c>
      <c r="J23" s="100">
        <v>1800</v>
      </c>
      <c r="K23" s="100">
        <v>1800</v>
      </c>
      <c r="L23" s="100">
        <v>1800</v>
      </c>
      <c r="M23" s="100">
        <v>1800</v>
      </c>
      <c r="N23" s="71">
        <f t="shared" si="1"/>
        <v>21600</v>
      </c>
      <c r="O23" s="83">
        <f>N23/$N$24</f>
        <v>0.2</v>
      </c>
    </row>
    <row r="24" spans="1:15" ht="15.75" customHeight="1" x14ac:dyDescent="0.2">
      <c r="A24" s="66" t="s">
        <v>109</v>
      </c>
      <c r="B24" s="72">
        <f>SUM(B8:B23)</f>
        <v>9000</v>
      </c>
      <c r="C24" s="72">
        <f t="shared" ref="C24:N24" si="3">SUM(C8:C23)</f>
        <v>9000</v>
      </c>
      <c r="D24" s="72">
        <f t="shared" si="3"/>
        <v>9000</v>
      </c>
      <c r="E24" s="72">
        <f t="shared" si="3"/>
        <v>9000</v>
      </c>
      <c r="F24" s="72">
        <f t="shared" si="3"/>
        <v>9000</v>
      </c>
      <c r="G24" s="72">
        <f t="shared" si="3"/>
        <v>9000</v>
      </c>
      <c r="H24" s="72">
        <f t="shared" si="3"/>
        <v>9000</v>
      </c>
      <c r="I24" s="72">
        <f t="shared" si="3"/>
        <v>9000</v>
      </c>
      <c r="J24" s="72">
        <f t="shared" si="3"/>
        <v>9000</v>
      </c>
      <c r="K24" s="72">
        <f t="shared" si="3"/>
        <v>9000</v>
      </c>
      <c r="L24" s="72">
        <f t="shared" si="3"/>
        <v>9000</v>
      </c>
      <c r="M24" s="72">
        <f t="shared" si="3"/>
        <v>9000</v>
      </c>
      <c r="N24" s="72">
        <f t="shared" si="3"/>
        <v>108000</v>
      </c>
      <c r="O24" s="81">
        <f>SUM(O8:O23)</f>
        <v>1</v>
      </c>
    </row>
    <row r="25" spans="1:15" ht="15.75" customHeight="1" x14ac:dyDescent="0.2">
      <c r="B25" s="40"/>
      <c r="D25" s="38"/>
    </row>
    <row r="26" spans="1:15" ht="15.75" customHeight="1" x14ac:dyDescent="0.2">
      <c r="A26" s="66" t="s">
        <v>110</v>
      </c>
      <c r="B26" s="88">
        <v>4.55</v>
      </c>
      <c r="C26" s="88">
        <f>B26</f>
        <v>4.55</v>
      </c>
      <c r="D26" s="88">
        <f t="shared" ref="D26:M26" si="4">C26</f>
        <v>4.55</v>
      </c>
      <c r="E26" s="88">
        <f t="shared" si="4"/>
        <v>4.55</v>
      </c>
      <c r="F26" s="88">
        <f t="shared" si="4"/>
        <v>4.55</v>
      </c>
      <c r="G26" s="88">
        <f t="shared" si="4"/>
        <v>4.55</v>
      </c>
      <c r="H26" s="88">
        <f t="shared" si="4"/>
        <v>4.55</v>
      </c>
      <c r="I26" s="88">
        <f t="shared" si="4"/>
        <v>4.55</v>
      </c>
      <c r="J26" s="88">
        <f t="shared" si="4"/>
        <v>4.55</v>
      </c>
      <c r="K26" s="88">
        <f t="shared" si="4"/>
        <v>4.55</v>
      </c>
      <c r="L26" s="88">
        <f t="shared" si="4"/>
        <v>4.55</v>
      </c>
      <c r="M26" s="88">
        <f t="shared" si="4"/>
        <v>4.55</v>
      </c>
      <c r="N26" s="40">
        <f>M26</f>
        <v>4.55</v>
      </c>
    </row>
    <row r="27" spans="1:15" ht="15.75" customHeight="1" x14ac:dyDescent="0.2">
      <c r="A27" s="6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5" ht="15.75" customHeight="1" x14ac:dyDescent="0.2">
      <c r="A28" s="68" t="s">
        <v>126</v>
      </c>
      <c r="B28" s="40"/>
      <c r="D28" s="38"/>
    </row>
    <row r="29" spans="1:15" ht="15.75" customHeight="1" x14ac:dyDescent="0.2">
      <c r="A29" s="67" t="s">
        <v>3</v>
      </c>
      <c r="B29" s="89">
        <f t="shared" ref="B29:B37" si="5">B8*$B$26</f>
        <v>2730</v>
      </c>
      <c r="C29" s="89">
        <f t="shared" ref="C29:M29" si="6">C8*C26</f>
        <v>2730</v>
      </c>
      <c r="D29" s="89">
        <f t="shared" si="6"/>
        <v>2730</v>
      </c>
      <c r="E29" s="89">
        <f t="shared" si="6"/>
        <v>2730</v>
      </c>
      <c r="F29" s="89">
        <f t="shared" si="6"/>
        <v>2730</v>
      </c>
      <c r="G29" s="89">
        <f t="shared" si="6"/>
        <v>2730</v>
      </c>
      <c r="H29" s="89">
        <f t="shared" si="6"/>
        <v>2730</v>
      </c>
      <c r="I29" s="89">
        <f t="shared" si="6"/>
        <v>2730</v>
      </c>
      <c r="J29" s="89">
        <f t="shared" si="6"/>
        <v>2730</v>
      </c>
      <c r="K29" s="89">
        <f t="shared" si="6"/>
        <v>2730</v>
      </c>
      <c r="L29" s="89">
        <f t="shared" si="6"/>
        <v>2730</v>
      </c>
      <c r="M29" s="89">
        <f t="shared" si="6"/>
        <v>2730</v>
      </c>
      <c r="N29" s="90">
        <f>SUM(B29:M29)</f>
        <v>32760</v>
      </c>
    </row>
    <row r="30" spans="1:15" ht="15.75" customHeight="1" x14ac:dyDescent="0.2">
      <c r="A30" s="67" t="s">
        <v>63</v>
      </c>
      <c r="B30" s="89">
        <f t="shared" si="5"/>
        <v>455</v>
      </c>
      <c r="C30" s="89">
        <f t="shared" ref="C30:M30" si="7">C9*$B$26</f>
        <v>455</v>
      </c>
      <c r="D30" s="89">
        <f t="shared" si="7"/>
        <v>455</v>
      </c>
      <c r="E30" s="89">
        <f t="shared" si="7"/>
        <v>455</v>
      </c>
      <c r="F30" s="89">
        <f t="shared" si="7"/>
        <v>455</v>
      </c>
      <c r="G30" s="89">
        <f t="shared" si="7"/>
        <v>455</v>
      </c>
      <c r="H30" s="89">
        <f t="shared" si="7"/>
        <v>455</v>
      </c>
      <c r="I30" s="89">
        <f t="shared" si="7"/>
        <v>455</v>
      </c>
      <c r="J30" s="89">
        <f t="shared" si="7"/>
        <v>455</v>
      </c>
      <c r="K30" s="89">
        <f t="shared" si="7"/>
        <v>455</v>
      </c>
      <c r="L30" s="89">
        <f t="shared" si="7"/>
        <v>455</v>
      </c>
      <c r="M30" s="89">
        <f t="shared" si="7"/>
        <v>455</v>
      </c>
      <c r="N30" s="90">
        <f>SUM(B30:M30)</f>
        <v>5460</v>
      </c>
    </row>
    <row r="31" spans="1:15" ht="15.75" customHeight="1" x14ac:dyDescent="0.2">
      <c r="A31" s="67" t="s">
        <v>4</v>
      </c>
      <c r="B31" s="89">
        <f t="shared" si="5"/>
        <v>5915</v>
      </c>
      <c r="C31" s="89">
        <f t="shared" ref="C31:M31" si="8">C10*$B$26</f>
        <v>5915</v>
      </c>
      <c r="D31" s="89">
        <f t="shared" si="8"/>
        <v>5915</v>
      </c>
      <c r="E31" s="89">
        <f t="shared" si="8"/>
        <v>5915</v>
      </c>
      <c r="F31" s="89">
        <f t="shared" si="8"/>
        <v>5915</v>
      </c>
      <c r="G31" s="89">
        <f t="shared" si="8"/>
        <v>5915</v>
      </c>
      <c r="H31" s="89">
        <f t="shared" si="8"/>
        <v>5915</v>
      </c>
      <c r="I31" s="89">
        <f t="shared" si="8"/>
        <v>5915</v>
      </c>
      <c r="J31" s="89">
        <f t="shared" si="8"/>
        <v>5915</v>
      </c>
      <c r="K31" s="89">
        <f t="shared" si="8"/>
        <v>5915</v>
      </c>
      <c r="L31" s="89">
        <f t="shared" si="8"/>
        <v>5915</v>
      </c>
      <c r="M31" s="89">
        <f t="shared" si="8"/>
        <v>5915</v>
      </c>
      <c r="N31" s="90">
        <f t="shared" ref="N31:N44" si="9">SUM(B31:M31)</f>
        <v>70980</v>
      </c>
    </row>
    <row r="32" spans="1:15" ht="15.75" customHeight="1" x14ac:dyDescent="0.2">
      <c r="A32" s="67" t="s">
        <v>5</v>
      </c>
      <c r="B32" s="89">
        <f t="shared" si="5"/>
        <v>1820</v>
      </c>
      <c r="C32" s="89">
        <f t="shared" ref="C32:M32" si="10">C11*$B$26</f>
        <v>1820</v>
      </c>
      <c r="D32" s="89">
        <f t="shared" si="10"/>
        <v>1820</v>
      </c>
      <c r="E32" s="89">
        <f t="shared" si="10"/>
        <v>1820</v>
      </c>
      <c r="F32" s="89">
        <f t="shared" si="10"/>
        <v>1820</v>
      </c>
      <c r="G32" s="89">
        <f t="shared" si="10"/>
        <v>1820</v>
      </c>
      <c r="H32" s="89">
        <f t="shared" si="10"/>
        <v>1820</v>
      </c>
      <c r="I32" s="89">
        <f t="shared" si="10"/>
        <v>1820</v>
      </c>
      <c r="J32" s="89">
        <f t="shared" si="10"/>
        <v>1820</v>
      </c>
      <c r="K32" s="89">
        <f t="shared" si="10"/>
        <v>1820</v>
      </c>
      <c r="L32" s="89">
        <f t="shared" si="10"/>
        <v>1820</v>
      </c>
      <c r="M32" s="89">
        <f t="shared" si="10"/>
        <v>1820</v>
      </c>
      <c r="N32" s="90">
        <f t="shared" si="9"/>
        <v>21840</v>
      </c>
    </row>
    <row r="33" spans="1:14" ht="15.75" customHeight="1" x14ac:dyDescent="0.2">
      <c r="A33" s="67" t="s">
        <v>66</v>
      </c>
      <c r="B33" s="89">
        <f t="shared" si="5"/>
        <v>1365</v>
      </c>
      <c r="C33" s="89">
        <f t="shared" ref="C33:M33" si="11">C12*$B$26</f>
        <v>1365</v>
      </c>
      <c r="D33" s="89">
        <f t="shared" si="11"/>
        <v>1365</v>
      </c>
      <c r="E33" s="89">
        <f t="shared" si="11"/>
        <v>1365</v>
      </c>
      <c r="F33" s="89">
        <f t="shared" si="11"/>
        <v>1365</v>
      </c>
      <c r="G33" s="89">
        <f t="shared" si="11"/>
        <v>1365</v>
      </c>
      <c r="H33" s="89">
        <f t="shared" si="11"/>
        <v>1365</v>
      </c>
      <c r="I33" s="89">
        <f t="shared" si="11"/>
        <v>1365</v>
      </c>
      <c r="J33" s="89">
        <f t="shared" si="11"/>
        <v>1365</v>
      </c>
      <c r="K33" s="89">
        <f t="shared" si="11"/>
        <v>1365</v>
      </c>
      <c r="L33" s="89">
        <f t="shared" si="11"/>
        <v>1365</v>
      </c>
      <c r="M33" s="89">
        <f t="shared" si="11"/>
        <v>1365</v>
      </c>
      <c r="N33" s="90">
        <f t="shared" si="9"/>
        <v>16380</v>
      </c>
    </row>
    <row r="34" spans="1:14" ht="15.75" customHeight="1" x14ac:dyDescent="0.2">
      <c r="A34" s="67" t="s">
        <v>67</v>
      </c>
      <c r="B34" s="89">
        <f t="shared" si="5"/>
        <v>910</v>
      </c>
      <c r="C34" s="89">
        <f t="shared" ref="C34:M34" si="12">C13*$B$26</f>
        <v>910</v>
      </c>
      <c r="D34" s="89">
        <f t="shared" si="12"/>
        <v>910</v>
      </c>
      <c r="E34" s="89">
        <f t="shared" si="12"/>
        <v>910</v>
      </c>
      <c r="F34" s="89">
        <f t="shared" si="12"/>
        <v>910</v>
      </c>
      <c r="G34" s="89">
        <f t="shared" si="12"/>
        <v>910</v>
      </c>
      <c r="H34" s="89">
        <f t="shared" si="12"/>
        <v>910</v>
      </c>
      <c r="I34" s="89">
        <f t="shared" si="12"/>
        <v>910</v>
      </c>
      <c r="J34" s="89">
        <f t="shared" si="12"/>
        <v>910</v>
      </c>
      <c r="K34" s="89">
        <f t="shared" si="12"/>
        <v>910</v>
      </c>
      <c r="L34" s="89">
        <f t="shared" si="12"/>
        <v>910</v>
      </c>
      <c r="M34" s="89">
        <f t="shared" si="12"/>
        <v>910</v>
      </c>
      <c r="N34" s="90">
        <f t="shared" si="9"/>
        <v>10920</v>
      </c>
    </row>
    <row r="35" spans="1:14" ht="15.75" customHeight="1" x14ac:dyDescent="0.2">
      <c r="A35" s="67" t="s">
        <v>6</v>
      </c>
      <c r="B35" s="89">
        <f t="shared" si="5"/>
        <v>5915</v>
      </c>
      <c r="C35" s="89">
        <f t="shared" ref="C35:M35" si="13">C14*$B$26</f>
        <v>5915</v>
      </c>
      <c r="D35" s="89">
        <f t="shared" si="13"/>
        <v>5915</v>
      </c>
      <c r="E35" s="89">
        <f t="shared" si="13"/>
        <v>5915</v>
      </c>
      <c r="F35" s="89">
        <f t="shared" si="13"/>
        <v>5915</v>
      </c>
      <c r="G35" s="89">
        <f t="shared" si="13"/>
        <v>5915</v>
      </c>
      <c r="H35" s="89">
        <f t="shared" si="13"/>
        <v>5915</v>
      </c>
      <c r="I35" s="89">
        <f t="shared" si="13"/>
        <v>5915</v>
      </c>
      <c r="J35" s="89">
        <f t="shared" si="13"/>
        <v>5915</v>
      </c>
      <c r="K35" s="89">
        <f t="shared" si="13"/>
        <v>5915</v>
      </c>
      <c r="L35" s="89">
        <f t="shared" si="13"/>
        <v>5915</v>
      </c>
      <c r="M35" s="89">
        <f t="shared" si="13"/>
        <v>5915</v>
      </c>
      <c r="N35" s="90">
        <f t="shared" si="9"/>
        <v>70980</v>
      </c>
    </row>
    <row r="36" spans="1:14" ht="15.75" customHeight="1" x14ac:dyDescent="0.2">
      <c r="A36" s="67" t="s">
        <v>7</v>
      </c>
      <c r="B36" s="89">
        <f t="shared" si="5"/>
        <v>1820</v>
      </c>
      <c r="C36" s="89">
        <f t="shared" ref="C36:M36" si="14">C15*$B$26</f>
        <v>1820</v>
      </c>
      <c r="D36" s="89">
        <f t="shared" si="14"/>
        <v>1820</v>
      </c>
      <c r="E36" s="89">
        <f t="shared" si="14"/>
        <v>1820</v>
      </c>
      <c r="F36" s="89">
        <f t="shared" si="14"/>
        <v>1820</v>
      </c>
      <c r="G36" s="89">
        <f t="shared" si="14"/>
        <v>1820</v>
      </c>
      <c r="H36" s="89">
        <f t="shared" si="14"/>
        <v>1820</v>
      </c>
      <c r="I36" s="89">
        <f t="shared" si="14"/>
        <v>1820</v>
      </c>
      <c r="J36" s="89">
        <f t="shared" si="14"/>
        <v>1820</v>
      </c>
      <c r="K36" s="89">
        <f t="shared" si="14"/>
        <v>1820</v>
      </c>
      <c r="L36" s="89">
        <f t="shared" si="14"/>
        <v>1820</v>
      </c>
      <c r="M36" s="89">
        <f t="shared" si="14"/>
        <v>1820</v>
      </c>
      <c r="N36" s="90">
        <f t="shared" si="9"/>
        <v>21840</v>
      </c>
    </row>
    <row r="37" spans="1:14" ht="15.75" customHeight="1" x14ac:dyDescent="0.2">
      <c r="A37" s="67" t="s">
        <v>8</v>
      </c>
      <c r="B37" s="89">
        <f t="shared" si="5"/>
        <v>2275</v>
      </c>
      <c r="C37" s="89">
        <f t="shared" ref="C37:M37" si="15">C16*$B$26</f>
        <v>2275</v>
      </c>
      <c r="D37" s="89">
        <f t="shared" si="15"/>
        <v>2275</v>
      </c>
      <c r="E37" s="89">
        <f t="shared" si="15"/>
        <v>2275</v>
      </c>
      <c r="F37" s="89">
        <f t="shared" si="15"/>
        <v>2275</v>
      </c>
      <c r="G37" s="89">
        <f t="shared" si="15"/>
        <v>2275</v>
      </c>
      <c r="H37" s="89">
        <f t="shared" si="15"/>
        <v>2275</v>
      </c>
      <c r="I37" s="89">
        <f t="shared" si="15"/>
        <v>2275</v>
      </c>
      <c r="J37" s="89">
        <f t="shared" si="15"/>
        <v>2275</v>
      </c>
      <c r="K37" s="89">
        <f t="shared" si="15"/>
        <v>2275</v>
      </c>
      <c r="L37" s="89">
        <f t="shared" si="15"/>
        <v>2275</v>
      </c>
      <c r="M37" s="89">
        <f t="shared" si="15"/>
        <v>2275</v>
      </c>
      <c r="N37" s="90">
        <f t="shared" si="9"/>
        <v>27300</v>
      </c>
    </row>
    <row r="38" spans="1:14" ht="15.75" customHeight="1" x14ac:dyDescent="0.2">
      <c r="A38" s="67" t="s">
        <v>71</v>
      </c>
      <c r="B38" s="89">
        <f>B17*B26</f>
        <v>910</v>
      </c>
      <c r="C38" s="89">
        <f t="shared" ref="C38:M38" si="16">C17*C26</f>
        <v>910</v>
      </c>
      <c r="D38" s="89">
        <f t="shared" si="16"/>
        <v>910</v>
      </c>
      <c r="E38" s="89">
        <f t="shared" si="16"/>
        <v>910</v>
      </c>
      <c r="F38" s="89">
        <f t="shared" si="16"/>
        <v>910</v>
      </c>
      <c r="G38" s="89">
        <f t="shared" si="16"/>
        <v>910</v>
      </c>
      <c r="H38" s="89">
        <f t="shared" si="16"/>
        <v>910</v>
      </c>
      <c r="I38" s="89">
        <f t="shared" si="16"/>
        <v>910</v>
      </c>
      <c r="J38" s="89">
        <f t="shared" si="16"/>
        <v>910</v>
      </c>
      <c r="K38" s="89">
        <f t="shared" si="16"/>
        <v>910</v>
      </c>
      <c r="L38" s="89">
        <f t="shared" si="16"/>
        <v>910</v>
      </c>
      <c r="M38" s="89">
        <f t="shared" si="16"/>
        <v>910</v>
      </c>
      <c r="N38" s="90">
        <f t="shared" si="9"/>
        <v>10920</v>
      </c>
    </row>
    <row r="39" spans="1:14" ht="15.75" customHeight="1" x14ac:dyDescent="0.2">
      <c r="A39" s="67" t="s">
        <v>9</v>
      </c>
      <c r="B39" s="89">
        <f>B18*$B$26</f>
        <v>1820</v>
      </c>
      <c r="C39" s="89">
        <f t="shared" ref="C39:M39" si="17">C18*$B$26</f>
        <v>1820</v>
      </c>
      <c r="D39" s="89">
        <f t="shared" si="17"/>
        <v>1820</v>
      </c>
      <c r="E39" s="89">
        <f t="shared" si="17"/>
        <v>1820</v>
      </c>
      <c r="F39" s="89">
        <f t="shared" si="17"/>
        <v>1820</v>
      </c>
      <c r="G39" s="89">
        <f t="shared" si="17"/>
        <v>1820</v>
      </c>
      <c r="H39" s="89">
        <f t="shared" si="17"/>
        <v>1820</v>
      </c>
      <c r="I39" s="89">
        <f t="shared" si="17"/>
        <v>1820</v>
      </c>
      <c r="J39" s="89">
        <f t="shared" si="17"/>
        <v>1820</v>
      </c>
      <c r="K39" s="89">
        <f t="shared" si="17"/>
        <v>1820</v>
      </c>
      <c r="L39" s="89">
        <f t="shared" si="17"/>
        <v>1820</v>
      </c>
      <c r="M39" s="89">
        <f t="shared" si="17"/>
        <v>1820</v>
      </c>
      <c r="N39" s="90">
        <f t="shared" si="9"/>
        <v>21840</v>
      </c>
    </row>
    <row r="40" spans="1:14" ht="15.75" customHeight="1" x14ac:dyDescent="0.2">
      <c r="A40" s="67" t="s">
        <v>10</v>
      </c>
      <c r="B40" s="89">
        <f>B19*$B$26</f>
        <v>4550</v>
      </c>
      <c r="C40" s="89">
        <f t="shared" ref="C40:M40" si="18">C19*$B$26</f>
        <v>4550</v>
      </c>
      <c r="D40" s="89">
        <f t="shared" si="18"/>
        <v>4550</v>
      </c>
      <c r="E40" s="89">
        <f t="shared" si="18"/>
        <v>4550</v>
      </c>
      <c r="F40" s="89">
        <f t="shared" si="18"/>
        <v>4550</v>
      </c>
      <c r="G40" s="89">
        <f t="shared" si="18"/>
        <v>4550</v>
      </c>
      <c r="H40" s="89">
        <f t="shared" si="18"/>
        <v>4550</v>
      </c>
      <c r="I40" s="89">
        <f t="shared" si="18"/>
        <v>4550</v>
      </c>
      <c r="J40" s="89">
        <f t="shared" si="18"/>
        <v>4550</v>
      </c>
      <c r="K40" s="89">
        <f t="shared" si="18"/>
        <v>4550</v>
      </c>
      <c r="L40" s="89">
        <f t="shared" si="18"/>
        <v>4550</v>
      </c>
      <c r="M40" s="89">
        <f t="shared" si="18"/>
        <v>4550</v>
      </c>
      <c r="N40" s="90">
        <f t="shared" si="9"/>
        <v>54600</v>
      </c>
    </row>
    <row r="41" spans="1:14" ht="15.75" customHeight="1" x14ac:dyDescent="0.2">
      <c r="A41" s="67" t="s">
        <v>73</v>
      </c>
      <c r="B41" s="89">
        <f t="shared" ref="B41:M43" si="19">B20*$B$26</f>
        <v>455</v>
      </c>
      <c r="C41" s="89">
        <f t="shared" si="19"/>
        <v>455</v>
      </c>
      <c r="D41" s="89">
        <f t="shared" si="19"/>
        <v>455</v>
      </c>
      <c r="E41" s="89">
        <f t="shared" si="19"/>
        <v>455</v>
      </c>
      <c r="F41" s="89">
        <f t="shared" si="19"/>
        <v>455</v>
      </c>
      <c r="G41" s="89">
        <f t="shared" si="19"/>
        <v>455</v>
      </c>
      <c r="H41" s="89">
        <f t="shared" si="19"/>
        <v>455</v>
      </c>
      <c r="I41" s="89">
        <f t="shared" si="19"/>
        <v>455</v>
      </c>
      <c r="J41" s="89">
        <f t="shared" si="19"/>
        <v>455</v>
      </c>
      <c r="K41" s="89">
        <f t="shared" si="19"/>
        <v>455</v>
      </c>
      <c r="L41" s="89">
        <f t="shared" si="19"/>
        <v>455</v>
      </c>
      <c r="M41" s="89">
        <f t="shared" si="19"/>
        <v>455</v>
      </c>
      <c r="N41" s="90">
        <f t="shared" si="9"/>
        <v>5460</v>
      </c>
    </row>
    <row r="42" spans="1:14" ht="15.75" customHeight="1" x14ac:dyDescent="0.2">
      <c r="A42" s="67" t="s">
        <v>72</v>
      </c>
      <c r="B42" s="89">
        <f t="shared" si="19"/>
        <v>455</v>
      </c>
      <c r="C42" s="89">
        <f t="shared" si="19"/>
        <v>455</v>
      </c>
      <c r="D42" s="89">
        <f t="shared" si="19"/>
        <v>455</v>
      </c>
      <c r="E42" s="89">
        <f t="shared" si="19"/>
        <v>455</v>
      </c>
      <c r="F42" s="89">
        <f t="shared" si="19"/>
        <v>455</v>
      </c>
      <c r="G42" s="89">
        <f t="shared" si="19"/>
        <v>455</v>
      </c>
      <c r="H42" s="89">
        <f t="shared" si="19"/>
        <v>455</v>
      </c>
      <c r="I42" s="89">
        <f t="shared" si="19"/>
        <v>455</v>
      </c>
      <c r="J42" s="89">
        <f t="shared" si="19"/>
        <v>455</v>
      </c>
      <c r="K42" s="89">
        <f t="shared" si="19"/>
        <v>455</v>
      </c>
      <c r="L42" s="89">
        <f t="shared" si="19"/>
        <v>455</v>
      </c>
      <c r="M42" s="89">
        <f t="shared" si="19"/>
        <v>455</v>
      </c>
      <c r="N42" s="90">
        <f t="shared" si="9"/>
        <v>5460</v>
      </c>
    </row>
    <row r="43" spans="1:14" ht="15.75" customHeight="1" x14ac:dyDescent="0.2">
      <c r="A43" s="67" t="s">
        <v>74</v>
      </c>
      <c r="B43" s="89">
        <f t="shared" si="19"/>
        <v>1365</v>
      </c>
      <c r="C43" s="89">
        <f t="shared" si="19"/>
        <v>1365</v>
      </c>
      <c r="D43" s="89">
        <f t="shared" si="19"/>
        <v>1365</v>
      </c>
      <c r="E43" s="89">
        <f t="shared" si="19"/>
        <v>1365</v>
      </c>
      <c r="F43" s="89">
        <f t="shared" si="19"/>
        <v>1365</v>
      </c>
      <c r="G43" s="89">
        <f t="shared" si="19"/>
        <v>1365</v>
      </c>
      <c r="H43" s="89">
        <f t="shared" si="19"/>
        <v>1365</v>
      </c>
      <c r="I43" s="89">
        <f t="shared" si="19"/>
        <v>1365</v>
      </c>
      <c r="J43" s="89">
        <f t="shared" si="19"/>
        <v>1365</v>
      </c>
      <c r="K43" s="89">
        <f t="shared" si="19"/>
        <v>1365</v>
      </c>
      <c r="L43" s="89">
        <f t="shared" si="19"/>
        <v>1365</v>
      </c>
      <c r="M43" s="89">
        <f t="shared" si="19"/>
        <v>1365</v>
      </c>
      <c r="N43" s="90">
        <f t="shared" si="9"/>
        <v>16380</v>
      </c>
    </row>
    <row r="44" spans="1:14" ht="15.75" customHeight="1" x14ac:dyDescent="0.2">
      <c r="A44" s="67" t="s">
        <v>11</v>
      </c>
      <c r="B44" s="91">
        <f>B23*$B$26</f>
        <v>8190</v>
      </c>
      <c r="C44" s="91">
        <f t="shared" ref="C44:M44" si="20">C23*$B$26</f>
        <v>8190</v>
      </c>
      <c r="D44" s="91">
        <f t="shared" si="20"/>
        <v>8190</v>
      </c>
      <c r="E44" s="91">
        <f t="shared" si="20"/>
        <v>8190</v>
      </c>
      <c r="F44" s="91">
        <f t="shared" si="20"/>
        <v>8190</v>
      </c>
      <c r="G44" s="91">
        <f t="shared" si="20"/>
        <v>8190</v>
      </c>
      <c r="H44" s="91">
        <f t="shared" si="20"/>
        <v>8190</v>
      </c>
      <c r="I44" s="91">
        <f t="shared" si="20"/>
        <v>8190</v>
      </c>
      <c r="J44" s="91">
        <f t="shared" si="20"/>
        <v>8190</v>
      </c>
      <c r="K44" s="91">
        <f t="shared" si="20"/>
        <v>8190</v>
      </c>
      <c r="L44" s="91">
        <f t="shared" si="20"/>
        <v>8190</v>
      </c>
      <c r="M44" s="91">
        <f t="shared" si="20"/>
        <v>8190</v>
      </c>
      <c r="N44" s="92">
        <f t="shared" si="9"/>
        <v>98280</v>
      </c>
    </row>
    <row r="45" spans="1:14" ht="15.75" customHeight="1" x14ac:dyDescent="0.2">
      <c r="A45" s="66" t="s">
        <v>109</v>
      </c>
      <c r="B45" s="75">
        <f>SUM(B29:B44)</f>
        <v>40950</v>
      </c>
      <c r="C45" s="75">
        <f t="shared" ref="C45:N45" si="21">SUM(C29:C44)</f>
        <v>40950</v>
      </c>
      <c r="D45" s="75">
        <f t="shared" si="21"/>
        <v>40950</v>
      </c>
      <c r="E45" s="75">
        <f t="shared" si="21"/>
        <v>40950</v>
      </c>
      <c r="F45" s="75">
        <f t="shared" si="21"/>
        <v>40950</v>
      </c>
      <c r="G45" s="75">
        <f t="shared" si="21"/>
        <v>40950</v>
      </c>
      <c r="H45" s="75">
        <f t="shared" si="21"/>
        <v>40950</v>
      </c>
      <c r="I45" s="75">
        <f t="shared" si="21"/>
        <v>40950</v>
      </c>
      <c r="J45" s="75">
        <f t="shared" si="21"/>
        <v>40950</v>
      </c>
      <c r="K45" s="75">
        <f t="shared" si="21"/>
        <v>40950</v>
      </c>
      <c r="L45" s="75">
        <f t="shared" si="21"/>
        <v>40950</v>
      </c>
      <c r="M45" s="75">
        <f t="shared" si="21"/>
        <v>40950</v>
      </c>
      <c r="N45" s="75">
        <f t="shared" si="21"/>
        <v>491400</v>
      </c>
    </row>
    <row r="46" spans="1:14" ht="15.75" customHeight="1" x14ac:dyDescent="0.2">
      <c r="B46" s="40"/>
      <c r="D46" s="38"/>
    </row>
    <row r="47" spans="1:14" ht="15.75" customHeight="1" x14ac:dyDescent="0.2">
      <c r="A47" s="68" t="s">
        <v>112</v>
      </c>
      <c r="B47" s="40"/>
      <c r="D47" s="38"/>
    </row>
    <row r="48" spans="1:14" ht="15.75" customHeight="1" x14ac:dyDescent="0.2">
      <c r="A48" s="67" t="s">
        <v>3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72">
        <f>SUM(B48:M48)</f>
        <v>0</v>
      </c>
    </row>
    <row r="49" spans="1:14" ht="15.75" customHeight="1" x14ac:dyDescent="0.2">
      <c r="A49" s="67" t="s">
        <v>63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72">
        <f>SUM(B49:M49)</f>
        <v>0</v>
      </c>
    </row>
    <row r="50" spans="1:14" ht="15.75" customHeight="1" x14ac:dyDescent="0.2">
      <c r="A50" s="67" t="s">
        <v>4</v>
      </c>
      <c r="B50" s="94">
        <v>200</v>
      </c>
      <c r="C50" s="94">
        <v>200</v>
      </c>
      <c r="D50" s="94">
        <v>200</v>
      </c>
      <c r="E50" s="94">
        <v>200</v>
      </c>
      <c r="F50" s="94">
        <v>200</v>
      </c>
      <c r="G50" s="94">
        <v>200</v>
      </c>
      <c r="H50" s="94">
        <v>200</v>
      </c>
      <c r="I50" s="94">
        <v>200</v>
      </c>
      <c r="J50" s="94">
        <v>200</v>
      </c>
      <c r="K50" s="94">
        <v>200</v>
      </c>
      <c r="L50" s="94">
        <v>200</v>
      </c>
      <c r="M50" s="94">
        <v>200</v>
      </c>
      <c r="N50" s="72">
        <f t="shared" ref="N50:N63" si="22">SUM(B50:M50)</f>
        <v>2400</v>
      </c>
    </row>
    <row r="51" spans="1:14" ht="15.75" customHeight="1" x14ac:dyDescent="0.2">
      <c r="A51" s="67" t="s">
        <v>5</v>
      </c>
      <c r="B51" s="94">
        <v>100</v>
      </c>
      <c r="C51" s="94">
        <v>100</v>
      </c>
      <c r="D51" s="94">
        <v>100</v>
      </c>
      <c r="E51" s="94">
        <v>100</v>
      </c>
      <c r="F51" s="94">
        <v>100</v>
      </c>
      <c r="G51" s="94">
        <v>100</v>
      </c>
      <c r="H51" s="94">
        <v>100</v>
      </c>
      <c r="I51" s="94">
        <v>100</v>
      </c>
      <c r="J51" s="94">
        <v>100</v>
      </c>
      <c r="K51" s="94">
        <v>100</v>
      </c>
      <c r="L51" s="94">
        <v>100</v>
      </c>
      <c r="M51" s="94">
        <v>100</v>
      </c>
      <c r="N51" s="72">
        <f t="shared" si="22"/>
        <v>1200</v>
      </c>
    </row>
    <row r="52" spans="1:14" ht="15.75" customHeight="1" x14ac:dyDescent="0.2">
      <c r="A52" s="67" t="s">
        <v>66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72">
        <f t="shared" si="22"/>
        <v>0</v>
      </c>
    </row>
    <row r="53" spans="1:14" ht="15.75" customHeight="1" x14ac:dyDescent="0.2">
      <c r="A53" s="67" t="s">
        <v>67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72">
        <f t="shared" si="22"/>
        <v>0</v>
      </c>
    </row>
    <row r="54" spans="1:14" ht="15.75" customHeight="1" x14ac:dyDescent="0.2">
      <c r="A54" s="67" t="s">
        <v>6</v>
      </c>
      <c r="B54" s="94">
        <v>400</v>
      </c>
      <c r="C54" s="94">
        <v>400</v>
      </c>
      <c r="D54" s="94">
        <v>400</v>
      </c>
      <c r="E54" s="94">
        <v>400</v>
      </c>
      <c r="F54" s="94">
        <v>400</v>
      </c>
      <c r="G54" s="94">
        <v>400</v>
      </c>
      <c r="H54" s="94">
        <v>400</v>
      </c>
      <c r="I54" s="94">
        <v>400</v>
      </c>
      <c r="J54" s="94">
        <v>400</v>
      </c>
      <c r="K54" s="94">
        <v>400</v>
      </c>
      <c r="L54" s="94">
        <v>400</v>
      </c>
      <c r="M54" s="94">
        <v>400</v>
      </c>
      <c r="N54" s="72">
        <f t="shared" si="22"/>
        <v>4800</v>
      </c>
    </row>
    <row r="55" spans="1:14" ht="15.75" customHeight="1" x14ac:dyDescent="0.2">
      <c r="A55" s="67" t="s">
        <v>7</v>
      </c>
      <c r="B55" s="94">
        <v>100</v>
      </c>
      <c r="C55" s="94">
        <v>100</v>
      </c>
      <c r="D55" s="94">
        <v>100</v>
      </c>
      <c r="E55" s="94">
        <v>100</v>
      </c>
      <c r="F55" s="94">
        <v>100</v>
      </c>
      <c r="G55" s="94">
        <v>100</v>
      </c>
      <c r="H55" s="94">
        <v>100</v>
      </c>
      <c r="I55" s="94">
        <v>100</v>
      </c>
      <c r="J55" s="94">
        <v>100</v>
      </c>
      <c r="K55" s="94">
        <v>100</v>
      </c>
      <c r="L55" s="94">
        <v>100</v>
      </c>
      <c r="M55" s="94">
        <v>100</v>
      </c>
      <c r="N55" s="72">
        <f t="shared" si="22"/>
        <v>1200</v>
      </c>
    </row>
    <row r="56" spans="1:14" ht="15.75" customHeight="1" x14ac:dyDescent="0.2">
      <c r="A56" s="67" t="s">
        <v>8</v>
      </c>
      <c r="B56" s="94">
        <v>100</v>
      </c>
      <c r="C56" s="94">
        <v>100</v>
      </c>
      <c r="D56" s="94">
        <v>100</v>
      </c>
      <c r="E56" s="94">
        <v>100</v>
      </c>
      <c r="F56" s="94">
        <v>100</v>
      </c>
      <c r="G56" s="94">
        <v>100</v>
      </c>
      <c r="H56" s="94">
        <v>100</v>
      </c>
      <c r="I56" s="94">
        <v>100</v>
      </c>
      <c r="J56" s="94">
        <v>100</v>
      </c>
      <c r="K56" s="94">
        <v>100</v>
      </c>
      <c r="L56" s="94">
        <v>100</v>
      </c>
      <c r="M56" s="94">
        <v>100</v>
      </c>
      <c r="N56" s="72">
        <f t="shared" si="22"/>
        <v>1200</v>
      </c>
    </row>
    <row r="57" spans="1:14" ht="15.75" customHeight="1" x14ac:dyDescent="0.2">
      <c r="A57" s="67" t="s">
        <v>71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72">
        <f t="shared" si="22"/>
        <v>0</v>
      </c>
    </row>
    <row r="58" spans="1:14" ht="15.75" customHeight="1" x14ac:dyDescent="0.2">
      <c r="A58" s="67" t="s">
        <v>9</v>
      </c>
      <c r="B58" s="94">
        <v>100</v>
      </c>
      <c r="C58" s="94">
        <v>100</v>
      </c>
      <c r="D58" s="94">
        <v>100</v>
      </c>
      <c r="E58" s="94">
        <v>100</v>
      </c>
      <c r="F58" s="94">
        <v>100</v>
      </c>
      <c r="G58" s="94">
        <v>100</v>
      </c>
      <c r="H58" s="94">
        <v>100</v>
      </c>
      <c r="I58" s="94">
        <v>100</v>
      </c>
      <c r="J58" s="94">
        <v>100</v>
      </c>
      <c r="K58" s="94">
        <v>100</v>
      </c>
      <c r="L58" s="94">
        <v>100</v>
      </c>
      <c r="M58" s="94">
        <v>100</v>
      </c>
      <c r="N58" s="72">
        <f t="shared" si="22"/>
        <v>1200</v>
      </c>
    </row>
    <row r="59" spans="1:14" ht="15.75" customHeight="1" x14ac:dyDescent="0.2">
      <c r="A59" s="67" t="s">
        <v>10</v>
      </c>
      <c r="B59" s="93">
        <v>100</v>
      </c>
      <c r="C59" s="93">
        <v>100</v>
      </c>
      <c r="D59" s="93">
        <v>100</v>
      </c>
      <c r="E59" s="93">
        <v>100</v>
      </c>
      <c r="F59" s="93">
        <v>100</v>
      </c>
      <c r="G59" s="93">
        <v>100</v>
      </c>
      <c r="H59" s="93">
        <v>100</v>
      </c>
      <c r="I59" s="93">
        <v>100</v>
      </c>
      <c r="J59" s="93">
        <v>100</v>
      </c>
      <c r="K59" s="93">
        <v>100</v>
      </c>
      <c r="L59" s="93">
        <v>100</v>
      </c>
      <c r="M59" s="93">
        <v>100</v>
      </c>
      <c r="N59" s="72">
        <f t="shared" si="22"/>
        <v>1200</v>
      </c>
    </row>
    <row r="60" spans="1:14" ht="15.75" customHeight="1" x14ac:dyDescent="0.2">
      <c r="A60" s="67" t="s">
        <v>73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72">
        <f t="shared" si="22"/>
        <v>0</v>
      </c>
    </row>
    <row r="61" spans="1:14" ht="15.75" customHeight="1" x14ac:dyDescent="0.2">
      <c r="A61" s="67" t="s">
        <v>72</v>
      </c>
      <c r="B61" s="93">
        <v>0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72">
        <f t="shared" si="22"/>
        <v>0</v>
      </c>
    </row>
    <row r="62" spans="1:14" ht="15.75" customHeight="1" x14ac:dyDescent="0.2">
      <c r="A62" s="67" t="s">
        <v>74</v>
      </c>
      <c r="B62" s="93">
        <v>0</v>
      </c>
      <c r="C62" s="93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72">
        <f t="shared" si="22"/>
        <v>0</v>
      </c>
    </row>
    <row r="63" spans="1:14" ht="15.75" customHeight="1" x14ac:dyDescent="0.2">
      <c r="A63" s="67" t="s">
        <v>11</v>
      </c>
      <c r="B63" s="95">
        <v>700</v>
      </c>
      <c r="C63" s="95">
        <v>700</v>
      </c>
      <c r="D63" s="95">
        <v>700</v>
      </c>
      <c r="E63" s="95">
        <v>700</v>
      </c>
      <c r="F63" s="95">
        <v>700</v>
      </c>
      <c r="G63" s="95">
        <v>700</v>
      </c>
      <c r="H63" s="95">
        <v>700</v>
      </c>
      <c r="I63" s="95">
        <v>700</v>
      </c>
      <c r="J63" s="95">
        <v>700</v>
      </c>
      <c r="K63" s="95">
        <v>700</v>
      </c>
      <c r="L63" s="95">
        <v>700</v>
      </c>
      <c r="M63" s="95">
        <v>700</v>
      </c>
      <c r="N63" s="73">
        <f t="shared" si="22"/>
        <v>8400</v>
      </c>
    </row>
    <row r="64" spans="1:14" ht="15.75" customHeight="1" x14ac:dyDescent="0.2">
      <c r="A64" s="66" t="s">
        <v>109</v>
      </c>
      <c r="B64" s="72">
        <f>SUM(B48:B63)</f>
        <v>1800</v>
      </c>
      <c r="C64" s="72">
        <f t="shared" ref="C64:N64" si="23">SUM(C48:C63)</f>
        <v>1800</v>
      </c>
      <c r="D64" s="72">
        <f t="shared" si="23"/>
        <v>1800</v>
      </c>
      <c r="E64" s="72">
        <f t="shared" si="23"/>
        <v>1800</v>
      </c>
      <c r="F64" s="72">
        <f t="shared" si="23"/>
        <v>1800</v>
      </c>
      <c r="G64" s="72">
        <f t="shared" si="23"/>
        <v>1800</v>
      </c>
      <c r="H64" s="72">
        <f t="shared" si="23"/>
        <v>1800</v>
      </c>
      <c r="I64" s="72">
        <f t="shared" si="23"/>
        <v>1800</v>
      </c>
      <c r="J64" s="72">
        <f t="shared" si="23"/>
        <v>1800</v>
      </c>
      <c r="K64" s="72">
        <f t="shared" si="23"/>
        <v>1800</v>
      </c>
      <c r="L64" s="72">
        <f t="shared" si="23"/>
        <v>1800</v>
      </c>
      <c r="M64" s="72">
        <f t="shared" si="23"/>
        <v>1800</v>
      </c>
      <c r="N64" s="72">
        <f t="shared" si="23"/>
        <v>21600</v>
      </c>
    </row>
    <row r="65" spans="1:14" ht="15.75" customHeight="1" x14ac:dyDescent="0.2">
      <c r="B65" s="40"/>
      <c r="D65" s="38"/>
    </row>
    <row r="66" spans="1:14" ht="15.75" customHeight="1" x14ac:dyDescent="0.2">
      <c r="A66" s="66" t="s">
        <v>111</v>
      </c>
      <c r="B66" s="88">
        <f>B26*0.1</f>
        <v>0.45500000000000002</v>
      </c>
      <c r="C66" s="88">
        <f t="shared" ref="C66:M66" si="24">C26*0.1</f>
        <v>0.45500000000000002</v>
      </c>
      <c r="D66" s="88">
        <f t="shared" si="24"/>
        <v>0.45500000000000002</v>
      </c>
      <c r="E66" s="88">
        <f t="shared" si="24"/>
        <v>0.45500000000000002</v>
      </c>
      <c r="F66" s="88">
        <f t="shared" si="24"/>
        <v>0.45500000000000002</v>
      </c>
      <c r="G66" s="88">
        <f t="shared" si="24"/>
        <v>0.45500000000000002</v>
      </c>
      <c r="H66" s="88">
        <f t="shared" si="24"/>
        <v>0.45500000000000002</v>
      </c>
      <c r="I66" s="88">
        <f t="shared" si="24"/>
        <v>0.45500000000000002</v>
      </c>
      <c r="J66" s="88">
        <f t="shared" si="24"/>
        <v>0.45500000000000002</v>
      </c>
      <c r="K66" s="88">
        <f t="shared" si="24"/>
        <v>0.45500000000000002</v>
      </c>
      <c r="L66" s="88">
        <f t="shared" si="24"/>
        <v>0.45500000000000002</v>
      </c>
      <c r="M66" s="88">
        <f t="shared" si="24"/>
        <v>0.45500000000000002</v>
      </c>
      <c r="N66" s="40">
        <f>N26*0.1</f>
        <v>0.45500000000000002</v>
      </c>
    </row>
    <row r="67" spans="1:14" ht="15.75" customHeight="1" x14ac:dyDescent="0.2">
      <c r="B67" s="40"/>
      <c r="D67" s="38"/>
    </row>
    <row r="68" spans="1:14" ht="15.75" customHeight="1" x14ac:dyDescent="0.2">
      <c r="A68" s="68" t="s">
        <v>127</v>
      </c>
      <c r="B68" s="40"/>
      <c r="D68" s="38"/>
    </row>
    <row r="69" spans="1:14" ht="15.75" customHeight="1" x14ac:dyDescent="0.2">
      <c r="A69" s="67" t="s">
        <v>3</v>
      </c>
      <c r="B69" s="89">
        <f>B48*B66</f>
        <v>0</v>
      </c>
      <c r="C69" s="89">
        <f t="shared" ref="C69:M69" si="25">C48*C66</f>
        <v>0</v>
      </c>
      <c r="D69" s="89">
        <f t="shared" si="25"/>
        <v>0</v>
      </c>
      <c r="E69" s="89">
        <f t="shared" si="25"/>
        <v>0</v>
      </c>
      <c r="F69" s="89">
        <f t="shared" si="25"/>
        <v>0</v>
      </c>
      <c r="G69" s="89">
        <f t="shared" si="25"/>
        <v>0</v>
      </c>
      <c r="H69" s="89">
        <f t="shared" si="25"/>
        <v>0</v>
      </c>
      <c r="I69" s="89">
        <f t="shared" si="25"/>
        <v>0</v>
      </c>
      <c r="J69" s="89">
        <f t="shared" si="25"/>
        <v>0</v>
      </c>
      <c r="K69" s="89">
        <f t="shared" si="25"/>
        <v>0</v>
      </c>
      <c r="L69" s="89">
        <f t="shared" si="25"/>
        <v>0</v>
      </c>
      <c r="M69" s="89">
        <f t="shared" si="25"/>
        <v>0</v>
      </c>
      <c r="N69" s="89">
        <f>SUM(B69:M69)</f>
        <v>0</v>
      </c>
    </row>
    <row r="70" spans="1:14" ht="15.75" customHeight="1" x14ac:dyDescent="0.2">
      <c r="A70" s="106" t="s">
        <v>63</v>
      </c>
      <c r="B70" s="89">
        <f>B49*B66</f>
        <v>0</v>
      </c>
      <c r="C70" s="89">
        <f t="shared" ref="C70:M70" si="26">C49*C66</f>
        <v>0</v>
      </c>
      <c r="D70" s="89">
        <f t="shared" si="26"/>
        <v>0</v>
      </c>
      <c r="E70" s="89">
        <f t="shared" si="26"/>
        <v>0</v>
      </c>
      <c r="F70" s="89">
        <f t="shared" si="26"/>
        <v>0</v>
      </c>
      <c r="G70" s="89">
        <f t="shared" si="26"/>
        <v>0</v>
      </c>
      <c r="H70" s="89">
        <f t="shared" si="26"/>
        <v>0</v>
      </c>
      <c r="I70" s="89">
        <f t="shared" si="26"/>
        <v>0</v>
      </c>
      <c r="J70" s="89">
        <f t="shared" si="26"/>
        <v>0</v>
      </c>
      <c r="K70" s="89">
        <f t="shared" si="26"/>
        <v>0</v>
      </c>
      <c r="L70" s="89">
        <f t="shared" si="26"/>
        <v>0</v>
      </c>
      <c r="M70" s="89">
        <f t="shared" si="26"/>
        <v>0</v>
      </c>
      <c r="N70" s="89">
        <f>SUM(B70:M70)</f>
        <v>0</v>
      </c>
    </row>
    <row r="71" spans="1:14" ht="15.75" customHeight="1" x14ac:dyDescent="0.2">
      <c r="A71" s="67" t="s">
        <v>4</v>
      </c>
      <c r="B71" s="89">
        <f>B50*B66</f>
        <v>91</v>
      </c>
      <c r="C71" s="89">
        <f t="shared" ref="C71:M71" si="27">C50*C66</f>
        <v>91</v>
      </c>
      <c r="D71" s="89">
        <f t="shared" si="27"/>
        <v>91</v>
      </c>
      <c r="E71" s="89">
        <f t="shared" si="27"/>
        <v>91</v>
      </c>
      <c r="F71" s="89">
        <f t="shared" si="27"/>
        <v>91</v>
      </c>
      <c r="G71" s="89">
        <f t="shared" si="27"/>
        <v>91</v>
      </c>
      <c r="H71" s="89">
        <f t="shared" si="27"/>
        <v>91</v>
      </c>
      <c r="I71" s="89">
        <f t="shared" si="27"/>
        <v>91</v>
      </c>
      <c r="J71" s="89">
        <f t="shared" si="27"/>
        <v>91</v>
      </c>
      <c r="K71" s="89">
        <f t="shared" si="27"/>
        <v>91</v>
      </c>
      <c r="L71" s="89">
        <f t="shared" si="27"/>
        <v>91</v>
      </c>
      <c r="M71" s="89">
        <f t="shared" si="27"/>
        <v>91</v>
      </c>
      <c r="N71" s="90">
        <f t="shared" ref="N71:N84" si="28">SUM(B71:M71)</f>
        <v>1092</v>
      </c>
    </row>
    <row r="72" spans="1:14" ht="15.75" customHeight="1" x14ac:dyDescent="0.2">
      <c r="A72" s="67" t="s">
        <v>5</v>
      </c>
      <c r="B72" s="89">
        <f>B51*$B$66</f>
        <v>45.5</v>
      </c>
      <c r="C72" s="89">
        <f t="shared" ref="C72:M72" si="29">C51*C66</f>
        <v>45.5</v>
      </c>
      <c r="D72" s="89">
        <f t="shared" si="29"/>
        <v>45.5</v>
      </c>
      <c r="E72" s="89">
        <f t="shared" si="29"/>
        <v>45.5</v>
      </c>
      <c r="F72" s="89">
        <f t="shared" si="29"/>
        <v>45.5</v>
      </c>
      <c r="G72" s="89">
        <f t="shared" si="29"/>
        <v>45.5</v>
      </c>
      <c r="H72" s="89">
        <f t="shared" si="29"/>
        <v>45.5</v>
      </c>
      <c r="I72" s="89">
        <f t="shared" si="29"/>
        <v>45.5</v>
      </c>
      <c r="J72" s="89">
        <f t="shared" si="29"/>
        <v>45.5</v>
      </c>
      <c r="K72" s="89">
        <f t="shared" si="29"/>
        <v>45.5</v>
      </c>
      <c r="L72" s="89">
        <f t="shared" si="29"/>
        <v>45.5</v>
      </c>
      <c r="M72" s="89">
        <f t="shared" si="29"/>
        <v>45.5</v>
      </c>
      <c r="N72" s="90">
        <f t="shared" si="28"/>
        <v>546</v>
      </c>
    </row>
    <row r="73" spans="1:14" ht="15.75" customHeight="1" x14ac:dyDescent="0.2">
      <c r="A73" s="67" t="s">
        <v>66</v>
      </c>
      <c r="B73" s="89">
        <f>B52*B66</f>
        <v>0</v>
      </c>
      <c r="C73" s="89">
        <f t="shared" ref="C73:M73" si="30">C52*C66</f>
        <v>0</v>
      </c>
      <c r="D73" s="89">
        <f t="shared" si="30"/>
        <v>0</v>
      </c>
      <c r="E73" s="89">
        <f t="shared" si="30"/>
        <v>0</v>
      </c>
      <c r="F73" s="89">
        <f t="shared" si="30"/>
        <v>0</v>
      </c>
      <c r="G73" s="89">
        <f t="shared" si="30"/>
        <v>0</v>
      </c>
      <c r="H73" s="89">
        <f t="shared" si="30"/>
        <v>0</v>
      </c>
      <c r="I73" s="89">
        <f t="shared" si="30"/>
        <v>0</v>
      </c>
      <c r="J73" s="89">
        <f t="shared" si="30"/>
        <v>0</v>
      </c>
      <c r="K73" s="89">
        <f t="shared" si="30"/>
        <v>0</v>
      </c>
      <c r="L73" s="89">
        <f t="shared" si="30"/>
        <v>0</v>
      </c>
      <c r="M73" s="89">
        <f t="shared" si="30"/>
        <v>0</v>
      </c>
      <c r="N73" s="90">
        <f t="shared" si="28"/>
        <v>0</v>
      </c>
    </row>
    <row r="74" spans="1:14" ht="15.75" customHeight="1" x14ac:dyDescent="0.2">
      <c r="A74" s="67" t="s">
        <v>67</v>
      </c>
      <c r="B74" s="89">
        <f>B53*B66</f>
        <v>0</v>
      </c>
      <c r="C74" s="89">
        <f t="shared" ref="C74:M74" si="31">C53*C66</f>
        <v>0</v>
      </c>
      <c r="D74" s="89">
        <f t="shared" si="31"/>
        <v>0</v>
      </c>
      <c r="E74" s="89">
        <f t="shared" si="31"/>
        <v>0</v>
      </c>
      <c r="F74" s="89">
        <f t="shared" si="31"/>
        <v>0</v>
      </c>
      <c r="G74" s="89">
        <f t="shared" si="31"/>
        <v>0</v>
      </c>
      <c r="H74" s="89">
        <f t="shared" si="31"/>
        <v>0</v>
      </c>
      <c r="I74" s="89">
        <f t="shared" si="31"/>
        <v>0</v>
      </c>
      <c r="J74" s="89">
        <f t="shared" si="31"/>
        <v>0</v>
      </c>
      <c r="K74" s="89">
        <f t="shared" si="31"/>
        <v>0</v>
      </c>
      <c r="L74" s="89">
        <f t="shared" si="31"/>
        <v>0</v>
      </c>
      <c r="M74" s="89">
        <f t="shared" si="31"/>
        <v>0</v>
      </c>
      <c r="N74" s="90">
        <f t="shared" si="28"/>
        <v>0</v>
      </c>
    </row>
    <row r="75" spans="1:14" ht="15.75" customHeight="1" x14ac:dyDescent="0.2">
      <c r="A75" s="67" t="s">
        <v>6</v>
      </c>
      <c r="B75" s="89">
        <f>B54*B66</f>
        <v>182</v>
      </c>
      <c r="C75" s="89">
        <f t="shared" ref="C75:M75" si="32">C54*C66</f>
        <v>182</v>
      </c>
      <c r="D75" s="89">
        <f t="shared" si="32"/>
        <v>182</v>
      </c>
      <c r="E75" s="89">
        <f t="shared" si="32"/>
        <v>182</v>
      </c>
      <c r="F75" s="89">
        <f t="shared" si="32"/>
        <v>182</v>
      </c>
      <c r="G75" s="89">
        <f t="shared" si="32"/>
        <v>182</v>
      </c>
      <c r="H75" s="89">
        <f t="shared" si="32"/>
        <v>182</v>
      </c>
      <c r="I75" s="89">
        <f t="shared" si="32"/>
        <v>182</v>
      </c>
      <c r="J75" s="89">
        <f t="shared" si="32"/>
        <v>182</v>
      </c>
      <c r="K75" s="89">
        <f t="shared" si="32"/>
        <v>182</v>
      </c>
      <c r="L75" s="89">
        <f t="shared" si="32"/>
        <v>182</v>
      </c>
      <c r="M75" s="89">
        <f t="shared" si="32"/>
        <v>182</v>
      </c>
      <c r="N75" s="90">
        <f t="shared" si="28"/>
        <v>2184</v>
      </c>
    </row>
    <row r="76" spans="1:14" ht="15.75" customHeight="1" x14ac:dyDescent="0.2">
      <c r="A76" s="67" t="s">
        <v>7</v>
      </c>
      <c r="B76" s="89">
        <f>B55*B66</f>
        <v>45.5</v>
      </c>
      <c r="C76" s="89">
        <f t="shared" ref="C76:M76" si="33">C55*C66</f>
        <v>45.5</v>
      </c>
      <c r="D76" s="89">
        <f t="shared" si="33"/>
        <v>45.5</v>
      </c>
      <c r="E76" s="89">
        <f t="shared" si="33"/>
        <v>45.5</v>
      </c>
      <c r="F76" s="89">
        <f t="shared" si="33"/>
        <v>45.5</v>
      </c>
      <c r="G76" s="89">
        <f t="shared" si="33"/>
        <v>45.5</v>
      </c>
      <c r="H76" s="89">
        <f t="shared" si="33"/>
        <v>45.5</v>
      </c>
      <c r="I76" s="89">
        <f t="shared" si="33"/>
        <v>45.5</v>
      </c>
      <c r="J76" s="89">
        <f t="shared" si="33"/>
        <v>45.5</v>
      </c>
      <c r="K76" s="89">
        <f t="shared" si="33"/>
        <v>45.5</v>
      </c>
      <c r="L76" s="89">
        <f t="shared" si="33"/>
        <v>45.5</v>
      </c>
      <c r="M76" s="89">
        <f t="shared" si="33"/>
        <v>45.5</v>
      </c>
      <c r="N76" s="90">
        <f t="shared" si="28"/>
        <v>546</v>
      </c>
    </row>
    <row r="77" spans="1:14" ht="15.75" customHeight="1" x14ac:dyDescent="0.2">
      <c r="A77" s="67" t="s">
        <v>8</v>
      </c>
      <c r="B77" s="89">
        <f>B56*B66</f>
        <v>45.5</v>
      </c>
      <c r="C77" s="89">
        <f t="shared" ref="C77:M77" si="34">C56*C66</f>
        <v>45.5</v>
      </c>
      <c r="D77" s="89">
        <f t="shared" si="34"/>
        <v>45.5</v>
      </c>
      <c r="E77" s="89">
        <f t="shared" si="34"/>
        <v>45.5</v>
      </c>
      <c r="F77" s="89">
        <f t="shared" si="34"/>
        <v>45.5</v>
      </c>
      <c r="G77" s="89">
        <f t="shared" si="34"/>
        <v>45.5</v>
      </c>
      <c r="H77" s="89">
        <f t="shared" si="34"/>
        <v>45.5</v>
      </c>
      <c r="I77" s="89">
        <f t="shared" si="34"/>
        <v>45.5</v>
      </c>
      <c r="J77" s="89">
        <f t="shared" si="34"/>
        <v>45.5</v>
      </c>
      <c r="K77" s="89">
        <f t="shared" si="34"/>
        <v>45.5</v>
      </c>
      <c r="L77" s="89">
        <f t="shared" si="34"/>
        <v>45.5</v>
      </c>
      <c r="M77" s="89">
        <f t="shared" si="34"/>
        <v>45.5</v>
      </c>
      <c r="N77" s="90">
        <f t="shared" si="28"/>
        <v>546</v>
      </c>
    </row>
    <row r="78" spans="1:14" ht="15.75" customHeight="1" x14ac:dyDescent="0.2">
      <c r="A78" s="67" t="s">
        <v>71</v>
      </c>
      <c r="B78" s="89">
        <f>B57*B66</f>
        <v>0</v>
      </c>
      <c r="C78" s="89">
        <f t="shared" ref="C78:M78" si="35">C57*C66</f>
        <v>0</v>
      </c>
      <c r="D78" s="89">
        <f t="shared" si="35"/>
        <v>0</v>
      </c>
      <c r="E78" s="89">
        <f t="shared" si="35"/>
        <v>0</v>
      </c>
      <c r="F78" s="89">
        <f t="shared" si="35"/>
        <v>0</v>
      </c>
      <c r="G78" s="89">
        <f t="shared" si="35"/>
        <v>0</v>
      </c>
      <c r="H78" s="89">
        <f t="shared" si="35"/>
        <v>0</v>
      </c>
      <c r="I78" s="89">
        <f t="shared" si="35"/>
        <v>0</v>
      </c>
      <c r="J78" s="89">
        <f t="shared" si="35"/>
        <v>0</v>
      </c>
      <c r="K78" s="89">
        <f t="shared" si="35"/>
        <v>0</v>
      </c>
      <c r="L78" s="89">
        <f t="shared" si="35"/>
        <v>0</v>
      </c>
      <c r="M78" s="89">
        <f t="shared" si="35"/>
        <v>0</v>
      </c>
      <c r="N78" s="90">
        <f t="shared" si="28"/>
        <v>0</v>
      </c>
    </row>
    <row r="79" spans="1:14" ht="15.75" customHeight="1" x14ac:dyDescent="0.2">
      <c r="A79" s="67" t="s">
        <v>9</v>
      </c>
      <c r="B79" s="89">
        <f>B58*B66</f>
        <v>45.5</v>
      </c>
      <c r="C79" s="89">
        <f t="shared" ref="C79:M79" si="36">C58*C66</f>
        <v>45.5</v>
      </c>
      <c r="D79" s="89">
        <f t="shared" si="36"/>
        <v>45.5</v>
      </c>
      <c r="E79" s="89">
        <f t="shared" si="36"/>
        <v>45.5</v>
      </c>
      <c r="F79" s="89">
        <f t="shared" si="36"/>
        <v>45.5</v>
      </c>
      <c r="G79" s="89">
        <f t="shared" si="36"/>
        <v>45.5</v>
      </c>
      <c r="H79" s="89">
        <f t="shared" si="36"/>
        <v>45.5</v>
      </c>
      <c r="I79" s="89">
        <f t="shared" si="36"/>
        <v>45.5</v>
      </c>
      <c r="J79" s="89">
        <f t="shared" si="36"/>
        <v>45.5</v>
      </c>
      <c r="K79" s="89">
        <f t="shared" si="36"/>
        <v>45.5</v>
      </c>
      <c r="L79" s="89">
        <f t="shared" si="36"/>
        <v>45.5</v>
      </c>
      <c r="M79" s="89">
        <f t="shared" si="36"/>
        <v>45.5</v>
      </c>
      <c r="N79" s="90">
        <f t="shared" si="28"/>
        <v>546</v>
      </c>
    </row>
    <row r="80" spans="1:14" ht="15.75" customHeight="1" x14ac:dyDescent="0.2">
      <c r="A80" s="67" t="s">
        <v>10</v>
      </c>
      <c r="B80" s="89">
        <f>B59*B66</f>
        <v>45.5</v>
      </c>
      <c r="C80" s="89">
        <f t="shared" ref="C80:M80" si="37">C59*C66</f>
        <v>45.5</v>
      </c>
      <c r="D80" s="89">
        <f t="shared" si="37"/>
        <v>45.5</v>
      </c>
      <c r="E80" s="89">
        <f t="shared" si="37"/>
        <v>45.5</v>
      </c>
      <c r="F80" s="89">
        <f t="shared" si="37"/>
        <v>45.5</v>
      </c>
      <c r="G80" s="89">
        <f t="shared" si="37"/>
        <v>45.5</v>
      </c>
      <c r="H80" s="89">
        <f t="shared" si="37"/>
        <v>45.5</v>
      </c>
      <c r="I80" s="89">
        <f t="shared" si="37"/>
        <v>45.5</v>
      </c>
      <c r="J80" s="89">
        <f t="shared" si="37"/>
        <v>45.5</v>
      </c>
      <c r="K80" s="89">
        <f t="shared" si="37"/>
        <v>45.5</v>
      </c>
      <c r="L80" s="89">
        <f t="shared" si="37"/>
        <v>45.5</v>
      </c>
      <c r="M80" s="89">
        <f t="shared" si="37"/>
        <v>45.5</v>
      </c>
      <c r="N80" s="90">
        <f t="shared" si="28"/>
        <v>546</v>
      </c>
    </row>
    <row r="81" spans="1:15" ht="15.75" customHeight="1" x14ac:dyDescent="0.2">
      <c r="A81" s="67" t="s">
        <v>73</v>
      </c>
      <c r="B81" s="89">
        <f>B60*B66</f>
        <v>0</v>
      </c>
      <c r="C81" s="89">
        <f t="shared" ref="C81:M81" si="38">C60*C66</f>
        <v>0</v>
      </c>
      <c r="D81" s="89">
        <f t="shared" si="38"/>
        <v>0</v>
      </c>
      <c r="E81" s="89">
        <f t="shared" si="38"/>
        <v>0</v>
      </c>
      <c r="F81" s="89">
        <f t="shared" si="38"/>
        <v>0</v>
      </c>
      <c r="G81" s="89">
        <f t="shared" si="38"/>
        <v>0</v>
      </c>
      <c r="H81" s="89">
        <f t="shared" si="38"/>
        <v>0</v>
      </c>
      <c r="I81" s="89">
        <f t="shared" si="38"/>
        <v>0</v>
      </c>
      <c r="J81" s="89">
        <f t="shared" si="38"/>
        <v>0</v>
      </c>
      <c r="K81" s="89">
        <f t="shared" si="38"/>
        <v>0</v>
      </c>
      <c r="L81" s="89">
        <f t="shared" si="38"/>
        <v>0</v>
      </c>
      <c r="M81" s="89">
        <f t="shared" si="38"/>
        <v>0</v>
      </c>
      <c r="N81" s="90">
        <f t="shared" si="28"/>
        <v>0</v>
      </c>
    </row>
    <row r="82" spans="1:15" ht="15.75" customHeight="1" x14ac:dyDescent="0.2">
      <c r="A82" s="67" t="s">
        <v>72</v>
      </c>
      <c r="B82" s="89">
        <f>B61*B66</f>
        <v>0</v>
      </c>
      <c r="C82" s="89">
        <f t="shared" ref="C82:M82" si="39">C61*C66</f>
        <v>0</v>
      </c>
      <c r="D82" s="89">
        <f t="shared" si="39"/>
        <v>0</v>
      </c>
      <c r="E82" s="89">
        <f t="shared" si="39"/>
        <v>0</v>
      </c>
      <c r="F82" s="89">
        <f t="shared" si="39"/>
        <v>0</v>
      </c>
      <c r="G82" s="89">
        <f t="shared" si="39"/>
        <v>0</v>
      </c>
      <c r="H82" s="89">
        <f t="shared" si="39"/>
        <v>0</v>
      </c>
      <c r="I82" s="89">
        <f t="shared" si="39"/>
        <v>0</v>
      </c>
      <c r="J82" s="89">
        <f t="shared" si="39"/>
        <v>0</v>
      </c>
      <c r="K82" s="89">
        <f t="shared" si="39"/>
        <v>0</v>
      </c>
      <c r="L82" s="89">
        <f t="shared" si="39"/>
        <v>0</v>
      </c>
      <c r="M82" s="89">
        <f t="shared" si="39"/>
        <v>0</v>
      </c>
      <c r="N82" s="90">
        <f t="shared" si="28"/>
        <v>0</v>
      </c>
    </row>
    <row r="83" spans="1:15" ht="15.75" customHeight="1" x14ac:dyDescent="0.2">
      <c r="A83" s="67" t="s">
        <v>74</v>
      </c>
      <c r="B83" s="89">
        <f>B62*B66</f>
        <v>0</v>
      </c>
      <c r="C83" s="89">
        <f t="shared" ref="C83:M83" si="40">C62*C66</f>
        <v>0</v>
      </c>
      <c r="D83" s="89">
        <f t="shared" si="40"/>
        <v>0</v>
      </c>
      <c r="E83" s="89">
        <f t="shared" si="40"/>
        <v>0</v>
      </c>
      <c r="F83" s="89">
        <f t="shared" si="40"/>
        <v>0</v>
      </c>
      <c r="G83" s="89">
        <f t="shared" si="40"/>
        <v>0</v>
      </c>
      <c r="H83" s="89">
        <f t="shared" si="40"/>
        <v>0</v>
      </c>
      <c r="I83" s="89">
        <f t="shared" si="40"/>
        <v>0</v>
      </c>
      <c r="J83" s="89">
        <f t="shared" si="40"/>
        <v>0</v>
      </c>
      <c r="K83" s="89">
        <f t="shared" si="40"/>
        <v>0</v>
      </c>
      <c r="L83" s="89">
        <f t="shared" si="40"/>
        <v>0</v>
      </c>
      <c r="M83" s="89">
        <f t="shared" si="40"/>
        <v>0</v>
      </c>
      <c r="N83" s="90">
        <f t="shared" si="28"/>
        <v>0</v>
      </c>
    </row>
    <row r="84" spans="1:15" ht="15.75" customHeight="1" x14ac:dyDescent="0.2">
      <c r="A84" s="67" t="s">
        <v>11</v>
      </c>
      <c r="B84" s="91">
        <f>B63*B66</f>
        <v>318.5</v>
      </c>
      <c r="C84" s="91">
        <f t="shared" ref="C84:M84" si="41">C63*C66</f>
        <v>318.5</v>
      </c>
      <c r="D84" s="91">
        <f t="shared" si="41"/>
        <v>318.5</v>
      </c>
      <c r="E84" s="91">
        <f t="shared" si="41"/>
        <v>318.5</v>
      </c>
      <c r="F84" s="91">
        <f t="shared" si="41"/>
        <v>318.5</v>
      </c>
      <c r="G84" s="91">
        <f t="shared" si="41"/>
        <v>318.5</v>
      </c>
      <c r="H84" s="91">
        <f t="shared" si="41"/>
        <v>318.5</v>
      </c>
      <c r="I84" s="91">
        <f t="shared" si="41"/>
        <v>318.5</v>
      </c>
      <c r="J84" s="91">
        <f t="shared" si="41"/>
        <v>318.5</v>
      </c>
      <c r="K84" s="91">
        <f t="shared" si="41"/>
        <v>318.5</v>
      </c>
      <c r="L84" s="91">
        <f t="shared" si="41"/>
        <v>318.5</v>
      </c>
      <c r="M84" s="91">
        <f t="shared" si="41"/>
        <v>318.5</v>
      </c>
      <c r="N84" s="92">
        <f t="shared" si="28"/>
        <v>3822</v>
      </c>
    </row>
    <row r="85" spans="1:15" ht="15.75" customHeight="1" x14ac:dyDescent="0.2">
      <c r="A85" s="66" t="s">
        <v>109</v>
      </c>
      <c r="B85" s="75">
        <f>SUM(B69:B84)</f>
        <v>819</v>
      </c>
      <c r="C85" s="75">
        <f t="shared" ref="C85" si="42">SUM(C69:C84)</f>
        <v>819</v>
      </c>
      <c r="D85" s="75">
        <f t="shared" ref="D85" si="43">SUM(D69:D84)</f>
        <v>819</v>
      </c>
      <c r="E85" s="75">
        <f t="shared" ref="E85" si="44">SUM(E69:E84)</f>
        <v>819</v>
      </c>
      <c r="F85" s="75">
        <f t="shared" ref="F85" si="45">SUM(F69:F84)</f>
        <v>819</v>
      </c>
      <c r="G85" s="75">
        <f t="shared" ref="G85" si="46">SUM(G69:G84)</f>
        <v>819</v>
      </c>
      <c r="H85" s="75">
        <f t="shared" ref="H85" si="47">SUM(H69:H84)</f>
        <v>819</v>
      </c>
      <c r="I85" s="75">
        <f t="shared" ref="I85" si="48">SUM(I69:I84)</f>
        <v>819</v>
      </c>
      <c r="J85" s="75">
        <f t="shared" ref="J85" si="49">SUM(J69:J84)</f>
        <v>819</v>
      </c>
      <c r="K85" s="75">
        <f t="shared" ref="K85" si="50">SUM(K69:K84)</f>
        <v>819</v>
      </c>
      <c r="L85" s="75">
        <f t="shared" ref="L85" si="51">SUM(L69:L84)</f>
        <v>819</v>
      </c>
      <c r="M85" s="75">
        <f t="shared" ref="M85" si="52">SUM(M69:M84)</f>
        <v>819</v>
      </c>
      <c r="N85" s="75">
        <f t="shared" ref="N85" si="53">SUM(N69:N84)</f>
        <v>9828</v>
      </c>
    </row>
    <row r="86" spans="1:15" ht="15.75" customHeight="1" x14ac:dyDescent="0.2">
      <c r="B86" s="40"/>
      <c r="D86" s="38"/>
    </row>
    <row r="87" spans="1:15" ht="15.75" customHeight="1" x14ac:dyDescent="0.2">
      <c r="A87" s="68" t="s">
        <v>118</v>
      </c>
      <c r="B87" s="40"/>
      <c r="D87" s="40"/>
      <c r="F87" s="40"/>
      <c r="H87" s="40"/>
      <c r="J87" s="40"/>
      <c r="L87" s="40"/>
      <c r="O87" s="80" t="s">
        <v>91</v>
      </c>
    </row>
    <row r="88" spans="1:15" ht="15.75" customHeight="1" x14ac:dyDescent="0.2">
      <c r="A88" s="67" t="s">
        <v>3</v>
      </c>
      <c r="B88" s="93">
        <f>[3]Sheet1!$E$19*1000</f>
        <v>48000</v>
      </c>
      <c r="C88" s="93">
        <f>[3]Sheet1!$E$20*1000</f>
        <v>48000</v>
      </c>
      <c r="D88" s="93">
        <f>[3]Sheet1!$E$21*1000</f>
        <v>48000</v>
      </c>
      <c r="E88" s="93">
        <f>[3]Sheet1!$E$22*1000</f>
        <v>42000</v>
      </c>
      <c r="F88" s="93">
        <f>[3]Sheet1!$E$23*1000</f>
        <v>42000</v>
      </c>
      <c r="G88" s="93">
        <f>[3]Sheet1!$E$12*1000</f>
        <v>60000</v>
      </c>
      <c r="H88" s="93">
        <f>[3]Sheet1!$E$13*1000</f>
        <v>120000</v>
      </c>
      <c r="I88" s="93">
        <f>[3]Sheet1!$E$14*1000</f>
        <v>120000</v>
      </c>
      <c r="J88" s="93">
        <f>[3]Sheet1!$E$15*1000</f>
        <v>60000</v>
      </c>
      <c r="K88" s="93">
        <f>[3]Sheet1!$E$16*1000</f>
        <v>42000</v>
      </c>
      <c r="L88" s="93">
        <f>[3]Sheet1!$E$17*1000</f>
        <v>42000</v>
      </c>
      <c r="M88" s="93">
        <f>[3]Sheet1!$E$18*1000</f>
        <v>48000</v>
      </c>
      <c r="N88" s="72">
        <f>SUM(B88:M88)</f>
        <v>720000</v>
      </c>
      <c r="O88" s="82">
        <f t="shared" ref="O88:O93" si="54">N88/$N$104</f>
        <v>6.4516129032258063E-2</v>
      </c>
    </row>
    <row r="89" spans="1:15" ht="15.75" customHeight="1" x14ac:dyDescent="0.2">
      <c r="A89" s="67" t="s">
        <v>63</v>
      </c>
      <c r="B89" s="93">
        <f>[3]Sheet1!$N$19*1000</f>
        <v>16000</v>
      </c>
      <c r="C89" s="93">
        <f>[3]Sheet1!$N$20*1000</f>
        <v>16000</v>
      </c>
      <c r="D89" s="93">
        <f>[3]Sheet1!$N$21*1000</f>
        <v>16000</v>
      </c>
      <c r="E89" s="93">
        <f>[3]Sheet1!$N$22*1000</f>
        <v>14000</v>
      </c>
      <c r="F89" s="93">
        <f>[3]Sheet1!$N$23*1000</f>
        <v>14000</v>
      </c>
      <c r="G89" s="93">
        <f>[3]Sheet1!$N$12*1000</f>
        <v>20000</v>
      </c>
      <c r="H89" s="93">
        <f>[3]Sheet1!$N$13*1000</f>
        <v>40000</v>
      </c>
      <c r="I89" s="93">
        <f>[3]Sheet1!$N$14*1000</f>
        <v>40000</v>
      </c>
      <c r="J89" s="93">
        <f>[3]Sheet1!$N$15*1000</f>
        <v>20000</v>
      </c>
      <c r="K89" s="93">
        <f>[3]Sheet1!$N$16*1000</f>
        <v>14000</v>
      </c>
      <c r="L89" s="93">
        <f>[3]Sheet1!$N$17*1000</f>
        <v>14000</v>
      </c>
      <c r="M89" s="93">
        <f>[3]Sheet1!$N$18*1000</f>
        <v>16000</v>
      </c>
      <c r="N89" s="72">
        <f>SUM(B89:M89)</f>
        <v>240000</v>
      </c>
      <c r="O89" s="82">
        <f t="shared" si="54"/>
        <v>2.1505376344086023E-2</v>
      </c>
    </row>
    <row r="90" spans="1:15" ht="15.75" customHeight="1" x14ac:dyDescent="0.2">
      <c r="A90" s="67" t="s">
        <v>4</v>
      </c>
      <c r="B90" s="93">
        <f>[3]Sheet1!$F$19*1000</f>
        <v>104000</v>
      </c>
      <c r="C90" s="93">
        <f>[3]Sheet1!$F$20*1000</f>
        <v>104000</v>
      </c>
      <c r="D90" s="93">
        <f>[3]Sheet1!$F$21*1000</f>
        <v>104000</v>
      </c>
      <c r="E90" s="93">
        <f>[3]Sheet1!$F$22*1000</f>
        <v>91000</v>
      </c>
      <c r="F90" s="93">
        <f>[3]Sheet1!$F$23*1000</f>
        <v>91000</v>
      </c>
      <c r="G90" s="93">
        <f>[3]Sheet1!$F$12*1000</f>
        <v>130000</v>
      </c>
      <c r="H90" s="93">
        <f>[3]Sheet1!$F$13*1000</f>
        <v>260000</v>
      </c>
      <c r="I90" s="93">
        <f>[3]Sheet1!$F$14*1000</f>
        <v>260000</v>
      </c>
      <c r="J90" s="93">
        <f>[3]Sheet1!$F$15*1000</f>
        <v>130000</v>
      </c>
      <c r="K90" s="93">
        <f>[3]Sheet1!$F$16*1000</f>
        <v>91000</v>
      </c>
      <c r="L90" s="93">
        <f>[3]Sheet1!$F$17*1000</f>
        <v>91000</v>
      </c>
      <c r="M90" s="93">
        <f>[3]Sheet1!$F$18*1000</f>
        <v>104000</v>
      </c>
      <c r="N90" s="72">
        <f t="shared" ref="N90:N103" si="55">SUM(B90:M90)</f>
        <v>1560000</v>
      </c>
      <c r="O90" s="82">
        <f t="shared" si="54"/>
        <v>0.13978494623655913</v>
      </c>
    </row>
    <row r="91" spans="1:15" ht="15.75" customHeight="1" x14ac:dyDescent="0.2">
      <c r="A91" s="67" t="s">
        <v>5</v>
      </c>
      <c r="B91" s="93">
        <f>[3]Sheet1!$O$19*1000</f>
        <v>32000</v>
      </c>
      <c r="C91" s="93">
        <f>[3]Sheet1!$O$20*1000</f>
        <v>32000</v>
      </c>
      <c r="D91" s="93">
        <f>[3]Sheet1!$O$21*1000</f>
        <v>32000</v>
      </c>
      <c r="E91" s="93">
        <f>[3]Sheet1!$O$22*1000</f>
        <v>28000</v>
      </c>
      <c r="F91" s="93">
        <f>[3]Sheet1!$O$23*1000</f>
        <v>28000</v>
      </c>
      <c r="G91" s="93">
        <f>[3]Sheet1!$O$12*1000</f>
        <v>40000</v>
      </c>
      <c r="H91" s="93">
        <f>[3]Sheet1!$O$13*1000</f>
        <v>80000</v>
      </c>
      <c r="I91" s="93">
        <f>[3]Sheet1!$O$14*1000</f>
        <v>80000</v>
      </c>
      <c r="J91" s="93">
        <f>[3]Sheet1!$O$15*1000</f>
        <v>40000</v>
      </c>
      <c r="K91" s="93">
        <f>[3]Sheet1!$O$16*1000</f>
        <v>28000</v>
      </c>
      <c r="L91" s="93">
        <f>[3]Sheet1!$O$17*1000</f>
        <v>28000</v>
      </c>
      <c r="M91" s="93">
        <f>[3]Sheet1!$O$18*1000</f>
        <v>32000</v>
      </c>
      <c r="N91" s="72">
        <f t="shared" si="55"/>
        <v>480000</v>
      </c>
      <c r="O91" s="82">
        <f t="shared" si="54"/>
        <v>4.3010752688172046E-2</v>
      </c>
    </row>
    <row r="92" spans="1:15" ht="15.75" customHeight="1" x14ac:dyDescent="0.2">
      <c r="A92" s="67" t="s">
        <v>66</v>
      </c>
      <c r="B92" s="93">
        <f>[3]Sheet1!$G$19*1000</f>
        <v>24000</v>
      </c>
      <c r="C92" s="93">
        <f>[3]Sheet1!$G$20*1000</f>
        <v>24000</v>
      </c>
      <c r="D92" s="93">
        <f>[3]Sheet1!$G$21*1000</f>
        <v>24000</v>
      </c>
      <c r="E92" s="93">
        <f>[3]Sheet1!$G$22*1000</f>
        <v>21000</v>
      </c>
      <c r="F92" s="93">
        <f>[3]Sheet1!$G$23*1000</f>
        <v>21000</v>
      </c>
      <c r="G92" s="93">
        <f>[3]Sheet1!$G$12*1000</f>
        <v>30000</v>
      </c>
      <c r="H92" s="93">
        <f>[3]Sheet1!$G$13*1000</f>
        <v>60000</v>
      </c>
      <c r="I92" s="93">
        <f>[3]Sheet1!$G$14*1000</f>
        <v>60000</v>
      </c>
      <c r="J92" s="93">
        <f>[3]Sheet1!$G$15*1000</f>
        <v>30000</v>
      </c>
      <c r="K92" s="93">
        <f>[3]Sheet1!$G$16*1000</f>
        <v>21000</v>
      </c>
      <c r="L92" s="93">
        <f>[3]Sheet1!$G$17*1000</f>
        <v>21000</v>
      </c>
      <c r="M92" s="93">
        <f>[3]Sheet1!$G$18*1000</f>
        <v>24000</v>
      </c>
      <c r="N92" s="72">
        <f t="shared" si="55"/>
        <v>360000</v>
      </c>
      <c r="O92" s="82">
        <f t="shared" si="54"/>
        <v>3.2258064516129031E-2</v>
      </c>
    </row>
    <row r="93" spans="1:15" ht="15.75" customHeight="1" x14ac:dyDescent="0.2">
      <c r="A93" s="67" t="s">
        <v>67</v>
      </c>
      <c r="B93" s="93">
        <f>[3]Sheet1!$H$19*1000</f>
        <v>16000</v>
      </c>
      <c r="C93" s="93">
        <f>[3]Sheet1!$H$20*1000</f>
        <v>16000</v>
      </c>
      <c r="D93" s="93">
        <f>[3]Sheet1!$H$21*1000</f>
        <v>16000</v>
      </c>
      <c r="E93" s="93">
        <f>[3]Sheet1!$H$22*1000</f>
        <v>14000</v>
      </c>
      <c r="F93" s="93">
        <f>[3]Sheet1!$H$23*1000</f>
        <v>14000</v>
      </c>
      <c r="G93" s="93">
        <f>[3]Sheet1!$H$12*1000</f>
        <v>20000</v>
      </c>
      <c r="H93" s="93">
        <f>[3]Sheet1!$H$13*1000</f>
        <v>40000</v>
      </c>
      <c r="I93" s="93">
        <f>[3]Sheet1!$H$14*1000</f>
        <v>40000</v>
      </c>
      <c r="J93" s="93">
        <f>[3]Sheet1!$H$15*1000</f>
        <v>20000</v>
      </c>
      <c r="K93" s="93">
        <f>[3]Sheet1!$H$16*1000</f>
        <v>14000</v>
      </c>
      <c r="L93" s="93">
        <f>[3]Sheet1!$H$17*1000</f>
        <v>14000</v>
      </c>
      <c r="M93" s="93">
        <f>[3]Sheet1!$H$18*1000</f>
        <v>16000</v>
      </c>
      <c r="N93" s="72">
        <f t="shared" si="55"/>
        <v>240000</v>
      </c>
      <c r="O93" s="82">
        <f t="shared" si="54"/>
        <v>2.1505376344086023E-2</v>
      </c>
    </row>
    <row r="94" spans="1:15" ht="15.75" customHeight="1" x14ac:dyDescent="0.2">
      <c r="A94" s="67" t="s">
        <v>6</v>
      </c>
      <c r="B94" s="93">
        <f>[3]Sheet1!$I$19*1000</f>
        <v>104000</v>
      </c>
      <c r="C94" s="93">
        <f>[3]Sheet1!$I$20*1000</f>
        <v>104000</v>
      </c>
      <c r="D94" s="93">
        <f>[3]Sheet1!$I$21*1000</f>
        <v>104000</v>
      </c>
      <c r="E94" s="93">
        <f>[3]Sheet1!$I$22*1000</f>
        <v>91000</v>
      </c>
      <c r="F94" s="93">
        <f>[3]Sheet1!$I$23*1000</f>
        <v>91000</v>
      </c>
      <c r="G94" s="93">
        <f>[3]Sheet1!$I$12*1000</f>
        <v>130000</v>
      </c>
      <c r="H94" s="93">
        <f>[3]Sheet1!$I$13*1000</f>
        <v>260000</v>
      </c>
      <c r="I94" s="93">
        <f>[3]Sheet1!$I$14*1000</f>
        <v>260000</v>
      </c>
      <c r="J94" s="93">
        <f>[3]Sheet1!$I$15*1000</f>
        <v>130000</v>
      </c>
      <c r="K94" s="93">
        <f>[3]Sheet1!$I$16*1000</f>
        <v>91000</v>
      </c>
      <c r="L94" s="93">
        <f>[3]Sheet1!$I$17*1000</f>
        <v>91000</v>
      </c>
      <c r="M94" s="93">
        <f>[3]Sheet1!$I$18*1000</f>
        <v>104000</v>
      </c>
      <c r="N94" s="72">
        <f t="shared" si="55"/>
        <v>1560000</v>
      </c>
      <c r="O94" s="82">
        <f t="shared" ref="O94:O102" si="56">N94/$N$104</f>
        <v>0.13978494623655913</v>
      </c>
    </row>
    <row r="95" spans="1:15" ht="15.75" customHeight="1" x14ac:dyDescent="0.2">
      <c r="A95" s="67" t="s">
        <v>7</v>
      </c>
      <c r="B95" s="93">
        <f>[3]Sheet1!$J$19*1000</f>
        <v>40000</v>
      </c>
      <c r="C95" s="93">
        <f>[3]Sheet1!$J$20*1000</f>
        <v>40000</v>
      </c>
      <c r="D95" s="93">
        <f>[3]Sheet1!$J$21*1000</f>
        <v>40000</v>
      </c>
      <c r="E95" s="93">
        <f>[3]Sheet1!$J$22*1000</f>
        <v>35000</v>
      </c>
      <c r="F95" s="93">
        <f>[3]Sheet1!$J$23*1000</f>
        <v>35000</v>
      </c>
      <c r="G95" s="93">
        <f>[3]Sheet1!$J$12*1000</f>
        <v>50000</v>
      </c>
      <c r="H95" s="93">
        <f>[3]Sheet1!$J$13*1000</f>
        <v>100000</v>
      </c>
      <c r="I95" s="93">
        <f>[3]Sheet1!$J$14*1000</f>
        <v>100000</v>
      </c>
      <c r="J95" s="93">
        <f>[3]Sheet1!$J$15*1000</f>
        <v>50000</v>
      </c>
      <c r="K95" s="93">
        <f>[3]Sheet1!$J$16*1000</f>
        <v>35000</v>
      </c>
      <c r="L95" s="93">
        <f>[3]Sheet1!$J$17*1000</f>
        <v>35000</v>
      </c>
      <c r="M95" s="93">
        <f>[3]Sheet1!$J$18*1000</f>
        <v>40000</v>
      </c>
      <c r="N95" s="72">
        <f t="shared" si="55"/>
        <v>600000</v>
      </c>
      <c r="O95" s="82">
        <f t="shared" si="56"/>
        <v>5.3763440860215055E-2</v>
      </c>
    </row>
    <row r="96" spans="1:15" ht="15.75" customHeight="1" x14ac:dyDescent="0.2">
      <c r="A96" s="67" t="s">
        <v>8</v>
      </c>
      <c r="B96" s="93">
        <f>[3]Sheet1!$K$19*1000</f>
        <v>40000</v>
      </c>
      <c r="C96" s="93">
        <f>[3]Sheet1!$K$20*1000</f>
        <v>40000</v>
      </c>
      <c r="D96" s="93">
        <f>[3]Sheet1!$K$21*1000</f>
        <v>40000</v>
      </c>
      <c r="E96" s="93">
        <f>[3]Sheet1!$K$22*1000</f>
        <v>35000</v>
      </c>
      <c r="F96" s="93">
        <f>[3]Sheet1!$K$23*1000</f>
        <v>35000</v>
      </c>
      <c r="G96" s="93">
        <f>[3]Sheet1!$K$12*1000</f>
        <v>50000</v>
      </c>
      <c r="H96" s="93">
        <f>[3]Sheet1!$K$13*1000</f>
        <v>100000</v>
      </c>
      <c r="I96" s="93">
        <f>[3]Sheet1!$K$14*1000</f>
        <v>100000</v>
      </c>
      <c r="J96" s="93">
        <f>[3]Sheet1!$K$15*1000</f>
        <v>50000</v>
      </c>
      <c r="K96" s="93">
        <f>[3]Sheet1!$K$16*1000</f>
        <v>35000</v>
      </c>
      <c r="L96" s="93">
        <f>[3]Sheet1!$K$17*1000</f>
        <v>35000</v>
      </c>
      <c r="M96" s="93">
        <f>[3]Sheet1!$K$18*1000</f>
        <v>40000</v>
      </c>
      <c r="N96" s="72">
        <f t="shared" si="55"/>
        <v>600000</v>
      </c>
      <c r="O96" s="82">
        <f t="shared" si="56"/>
        <v>5.3763440860215055E-2</v>
      </c>
    </row>
    <row r="97" spans="1:15" ht="15.75" customHeight="1" x14ac:dyDescent="0.2">
      <c r="A97" s="67" t="s">
        <v>71</v>
      </c>
      <c r="B97" s="93">
        <f>[3]Sheet1!$R$19*1000</f>
        <v>16000</v>
      </c>
      <c r="C97" s="93">
        <f>[3]Sheet1!$R$20*1000</f>
        <v>16000</v>
      </c>
      <c r="D97" s="93">
        <f>[3]Sheet1!$R$21*1000</f>
        <v>16000</v>
      </c>
      <c r="E97" s="93">
        <f>[3]Sheet1!$R$22*1000</f>
        <v>14000</v>
      </c>
      <c r="F97" s="93">
        <f>[3]Sheet1!$R$23*1000</f>
        <v>14000</v>
      </c>
      <c r="G97" s="93">
        <f>[3]Sheet1!$R$12*1000</f>
        <v>20000</v>
      </c>
      <c r="H97" s="93">
        <f>[3]Sheet1!$R$13*1000</f>
        <v>40000</v>
      </c>
      <c r="I97" s="93">
        <f>[3]Sheet1!$R$14*1000</f>
        <v>40000</v>
      </c>
      <c r="J97" s="93">
        <f>[3]Sheet1!$R$15*1000</f>
        <v>20000</v>
      </c>
      <c r="K97" s="93">
        <f>[3]Sheet1!$R$16*1000</f>
        <v>14000</v>
      </c>
      <c r="L97" s="93">
        <f>[3]Sheet1!$R$17*1000</f>
        <v>14000</v>
      </c>
      <c r="M97" s="93">
        <f>[3]Sheet1!$R$18*1000</f>
        <v>16000</v>
      </c>
      <c r="N97" s="72">
        <f t="shared" si="55"/>
        <v>240000</v>
      </c>
      <c r="O97" s="82">
        <f t="shared" si="56"/>
        <v>2.1505376344086023E-2</v>
      </c>
    </row>
    <row r="98" spans="1:15" ht="15.75" customHeight="1" x14ac:dyDescent="0.2">
      <c r="A98" s="67" t="s">
        <v>9</v>
      </c>
      <c r="B98" s="93">
        <f>[3]Sheet1!$P$19*1000</f>
        <v>32000</v>
      </c>
      <c r="C98" s="93">
        <f>[3]Sheet1!$P$20*1000</f>
        <v>32000</v>
      </c>
      <c r="D98" s="93">
        <f>[3]Sheet1!$P$21*1000</f>
        <v>32000</v>
      </c>
      <c r="E98" s="93">
        <f>[3]Sheet1!$P$22*1000</f>
        <v>28000</v>
      </c>
      <c r="F98" s="93">
        <f>[3]Sheet1!$P$23*1000</f>
        <v>28000</v>
      </c>
      <c r="G98" s="93">
        <f>[3]Sheet1!$P$12*1000</f>
        <v>40000</v>
      </c>
      <c r="H98" s="93">
        <f>[3]Sheet1!$P$13*1000</f>
        <v>80000</v>
      </c>
      <c r="I98" s="93">
        <f>[3]Sheet1!$P$14*1000</f>
        <v>80000</v>
      </c>
      <c r="J98" s="93">
        <f>[3]Sheet1!$P$15*1000</f>
        <v>40000</v>
      </c>
      <c r="K98" s="93">
        <f>[3]Sheet1!$P$16*1000</f>
        <v>28000</v>
      </c>
      <c r="L98" s="93">
        <f>[3]Sheet1!$P$17*1000</f>
        <v>28000</v>
      </c>
      <c r="M98" s="93">
        <f>[3]Sheet1!$P$18*1000</f>
        <v>32000</v>
      </c>
      <c r="N98" s="72">
        <f t="shared" si="55"/>
        <v>480000</v>
      </c>
      <c r="O98" s="82">
        <f t="shared" si="56"/>
        <v>4.3010752688172046E-2</v>
      </c>
    </row>
    <row r="99" spans="1:15" ht="15.75" customHeight="1" x14ac:dyDescent="0.2">
      <c r="A99" s="67" t="s">
        <v>10</v>
      </c>
      <c r="B99" s="93">
        <f>[3]Sheet1!$Q$19*1000</f>
        <v>80000</v>
      </c>
      <c r="C99" s="93">
        <f>[3]Sheet1!$Q$20*1000</f>
        <v>80000</v>
      </c>
      <c r="D99" s="93">
        <f>[3]Sheet1!$Q$21*1000</f>
        <v>80000</v>
      </c>
      <c r="E99" s="93">
        <f>[3]Sheet1!$Q$22*1000</f>
        <v>70000</v>
      </c>
      <c r="F99" s="93">
        <f>[3]Sheet1!$Q$23*1000</f>
        <v>70000</v>
      </c>
      <c r="G99" s="93">
        <f>[3]Sheet1!$Q$12*1000</f>
        <v>100000</v>
      </c>
      <c r="H99" s="93">
        <f>[3]Sheet1!$Q$13*1000</f>
        <v>200000</v>
      </c>
      <c r="I99" s="93">
        <f>[3]Sheet1!$Q$14*1000</f>
        <v>200000</v>
      </c>
      <c r="J99" s="93">
        <f>[3]Sheet1!$Q$15*1000</f>
        <v>100000</v>
      </c>
      <c r="K99" s="93">
        <f>[3]Sheet1!$Q$16*1000</f>
        <v>70000</v>
      </c>
      <c r="L99" s="93">
        <f>[3]Sheet1!$Q$17*1000</f>
        <v>70000</v>
      </c>
      <c r="M99" s="93">
        <f>[3]Sheet1!$Q$18*1000</f>
        <v>80000</v>
      </c>
      <c r="N99" s="72">
        <f t="shared" si="55"/>
        <v>1200000</v>
      </c>
      <c r="O99" s="82">
        <f t="shared" si="56"/>
        <v>0.10752688172043011</v>
      </c>
    </row>
    <row r="100" spans="1:15" ht="15.75" customHeight="1" x14ac:dyDescent="0.2">
      <c r="A100" s="67" t="s">
        <v>73</v>
      </c>
      <c r="B100" s="93">
        <f>[3]Sheet1!$S$19*1000</f>
        <v>8000</v>
      </c>
      <c r="C100" s="93">
        <f>[3]Sheet1!$S$20*1000</f>
        <v>8000</v>
      </c>
      <c r="D100" s="93">
        <f>[3]Sheet1!$S$21*1000</f>
        <v>8000</v>
      </c>
      <c r="E100" s="93">
        <f>[3]Sheet1!$S$22*1000</f>
        <v>7000</v>
      </c>
      <c r="F100" s="93">
        <f>[3]Sheet1!$S$23*1000</f>
        <v>7000</v>
      </c>
      <c r="G100" s="93">
        <f>[3]Sheet1!$S$12*1000</f>
        <v>10000</v>
      </c>
      <c r="H100" s="93">
        <f>[3]Sheet1!$S$13*1000</f>
        <v>20000</v>
      </c>
      <c r="I100" s="93">
        <f>[3]Sheet1!$S$14*1000</f>
        <v>20000</v>
      </c>
      <c r="J100" s="93">
        <f>[3]Sheet1!$S$15*1000</f>
        <v>10000</v>
      </c>
      <c r="K100" s="93">
        <f>[3]Sheet1!$S$16*1000</f>
        <v>7000</v>
      </c>
      <c r="L100" s="93">
        <f>[3]Sheet1!$S$17*1000</f>
        <v>7000</v>
      </c>
      <c r="M100" s="93">
        <f>[3]Sheet1!$S$18*1000</f>
        <v>8000</v>
      </c>
      <c r="N100" s="72">
        <f t="shared" ref="N100:N102" si="57">SUM(B100:M100)</f>
        <v>120000</v>
      </c>
      <c r="O100" s="82">
        <f t="shared" si="56"/>
        <v>1.0752688172043012E-2</v>
      </c>
    </row>
    <row r="101" spans="1:15" ht="15.75" customHeight="1" x14ac:dyDescent="0.2">
      <c r="A101" s="67" t="s">
        <v>72</v>
      </c>
      <c r="B101" s="93">
        <f>[3]Sheet1!$T$19*1000</f>
        <v>8000</v>
      </c>
      <c r="C101" s="93">
        <f>[3]Sheet1!$T$20*1000</f>
        <v>8000</v>
      </c>
      <c r="D101" s="93">
        <f>[3]Sheet1!$T$21*1000</f>
        <v>8000</v>
      </c>
      <c r="E101" s="93">
        <f>[3]Sheet1!$T$22*1000</f>
        <v>7000</v>
      </c>
      <c r="F101" s="93">
        <f>[3]Sheet1!$T$23*1000</f>
        <v>7000</v>
      </c>
      <c r="G101" s="93">
        <f>[3]Sheet1!$T$12*1000</f>
        <v>10000</v>
      </c>
      <c r="H101" s="93">
        <f>[3]Sheet1!$T$13*1000</f>
        <v>20000</v>
      </c>
      <c r="I101" s="93">
        <f>[3]Sheet1!$T$14*1000</f>
        <v>20000</v>
      </c>
      <c r="J101" s="93">
        <f>[3]Sheet1!$T$15*1000</f>
        <v>10000</v>
      </c>
      <c r="K101" s="93">
        <f>[3]Sheet1!$T$16*1000</f>
        <v>7000</v>
      </c>
      <c r="L101" s="93">
        <f>[3]Sheet1!$T$17*1000</f>
        <v>7000</v>
      </c>
      <c r="M101" s="93">
        <f>[3]Sheet1!$T$18*1000</f>
        <v>8000</v>
      </c>
      <c r="N101" s="72">
        <f t="shared" si="57"/>
        <v>120000</v>
      </c>
      <c r="O101" s="82">
        <f t="shared" si="56"/>
        <v>1.0752688172043012E-2</v>
      </c>
    </row>
    <row r="102" spans="1:15" ht="15.75" customHeight="1" x14ac:dyDescent="0.2">
      <c r="A102" s="67" t="s">
        <v>74</v>
      </c>
      <c r="B102" s="93">
        <f>[3]Sheet1!$M$19*1000</f>
        <v>24000</v>
      </c>
      <c r="C102" s="93">
        <f>[3]Sheet1!$M$20*1000</f>
        <v>24000</v>
      </c>
      <c r="D102" s="93">
        <f>[3]Sheet1!$M$21*1000</f>
        <v>24000</v>
      </c>
      <c r="E102" s="93">
        <f>[3]Sheet1!$M$22*1000</f>
        <v>21000</v>
      </c>
      <c r="F102" s="93">
        <f>[3]Sheet1!$M$23*1000</f>
        <v>21000</v>
      </c>
      <c r="G102" s="93">
        <f>[3]Sheet1!$M$12*1000</f>
        <v>30000</v>
      </c>
      <c r="H102" s="93">
        <f>[3]Sheet1!$M$13*1000</f>
        <v>60000</v>
      </c>
      <c r="I102" s="93">
        <f>[3]Sheet1!$M$14*1000</f>
        <v>60000</v>
      </c>
      <c r="J102" s="93">
        <f>[3]Sheet1!$M$15*1000</f>
        <v>30000</v>
      </c>
      <c r="K102" s="93">
        <f>[3]Sheet1!$M$16*1000</f>
        <v>21000</v>
      </c>
      <c r="L102" s="93">
        <f>[3]Sheet1!$M$17*1000</f>
        <v>21000</v>
      </c>
      <c r="M102" s="93">
        <f>[3]Sheet1!$M$18*1000</f>
        <v>24000</v>
      </c>
      <c r="N102" s="72">
        <f t="shared" si="57"/>
        <v>360000</v>
      </c>
      <c r="O102" s="82">
        <f t="shared" si="56"/>
        <v>3.2258064516129031E-2</v>
      </c>
    </row>
    <row r="103" spans="1:15" ht="15.75" customHeight="1" x14ac:dyDescent="0.2">
      <c r="A103" s="67" t="s">
        <v>11</v>
      </c>
      <c r="B103" s="107">
        <f>[3]Sheet1!$L$19*1000</f>
        <v>152000</v>
      </c>
      <c r="C103" s="107">
        <f>[3]Sheet1!$L$20*1000</f>
        <v>152000</v>
      </c>
      <c r="D103" s="107">
        <f>[3]Sheet1!$L$21*1000</f>
        <v>152000</v>
      </c>
      <c r="E103" s="107">
        <f>[3]Sheet1!$L$22*1000</f>
        <v>133000</v>
      </c>
      <c r="F103" s="107">
        <f>[3]Sheet1!$L$23*1000</f>
        <v>133000</v>
      </c>
      <c r="G103" s="107">
        <f>[3]Sheet1!$L$12*1000</f>
        <v>190000</v>
      </c>
      <c r="H103" s="107">
        <f>[3]Sheet1!$L$13*1000</f>
        <v>380000</v>
      </c>
      <c r="I103" s="107">
        <f>[3]Sheet1!$L$14*1000</f>
        <v>380000</v>
      </c>
      <c r="J103" s="107">
        <f>[3]Sheet1!$L$15*1000</f>
        <v>190000</v>
      </c>
      <c r="K103" s="107">
        <f>[3]Sheet1!$L$16*1000</f>
        <v>133000</v>
      </c>
      <c r="L103" s="107">
        <f>[3]Sheet1!$L$17*1000</f>
        <v>133000</v>
      </c>
      <c r="M103" s="107">
        <f>[3]Sheet1!$L$18*1000</f>
        <v>152000</v>
      </c>
      <c r="N103" s="73">
        <f t="shared" si="55"/>
        <v>2280000</v>
      </c>
      <c r="O103" s="83">
        <f>N103/$N$104</f>
        <v>0.20430107526881722</v>
      </c>
    </row>
    <row r="104" spans="1:15" ht="15.75" customHeight="1" x14ac:dyDescent="0.2">
      <c r="A104" s="66" t="s">
        <v>109</v>
      </c>
      <c r="B104" s="72">
        <f>SUM(B88:B103)</f>
        <v>744000</v>
      </c>
      <c r="C104" s="72">
        <f t="shared" ref="C104:N104" si="58">SUM(C88:C103)</f>
        <v>744000</v>
      </c>
      <c r="D104" s="72">
        <f t="shared" si="58"/>
        <v>744000</v>
      </c>
      <c r="E104" s="72">
        <f t="shared" si="58"/>
        <v>651000</v>
      </c>
      <c r="F104" s="72">
        <f t="shared" si="58"/>
        <v>651000</v>
      </c>
      <c r="G104" s="72">
        <f t="shared" si="58"/>
        <v>930000</v>
      </c>
      <c r="H104" s="72">
        <f t="shared" si="58"/>
        <v>1860000</v>
      </c>
      <c r="I104" s="72">
        <f t="shared" si="58"/>
        <v>1860000</v>
      </c>
      <c r="J104" s="72">
        <f t="shared" si="58"/>
        <v>930000</v>
      </c>
      <c r="K104" s="72">
        <f t="shared" si="58"/>
        <v>651000</v>
      </c>
      <c r="L104" s="72">
        <f t="shared" si="58"/>
        <v>651000</v>
      </c>
      <c r="M104" s="72">
        <f t="shared" si="58"/>
        <v>744000</v>
      </c>
      <c r="N104" s="72">
        <f t="shared" si="58"/>
        <v>11160000</v>
      </c>
      <c r="O104" s="81">
        <f>SUM(O88:O103)</f>
        <v>0.99999999999999978</v>
      </c>
    </row>
    <row r="105" spans="1:15" ht="15.75" customHeight="1" x14ac:dyDescent="0.2">
      <c r="B105" s="40"/>
      <c r="D105" s="38"/>
    </row>
    <row r="106" spans="1:15" ht="15.75" customHeight="1" x14ac:dyDescent="0.2">
      <c r="A106" s="66" t="s">
        <v>119</v>
      </c>
      <c r="B106" s="88">
        <f>17.4+0.0083</f>
        <v>17.408299999999997</v>
      </c>
      <c r="C106" s="88">
        <f>B106</f>
        <v>17.408299999999997</v>
      </c>
      <c r="D106" s="88">
        <f>C106</f>
        <v>17.408299999999997</v>
      </c>
      <c r="E106" s="88">
        <f t="shared" ref="E106:N106" si="59">D106</f>
        <v>17.408299999999997</v>
      </c>
      <c r="F106" s="88">
        <f t="shared" si="59"/>
        <v>17.408299999999997</v>
      </c>
      <c r="G106" s="88">
        <f t="shared" si="59"/>
        <v>17.408299999999997</v>
      </c>
      <c r="H106" s="88">
        <f t="shared" si="59"/>
        <v>17.408299999999997</v>
      </c>
      <c r="I106" s="88">
        <f t="shared" si="59"/>
        <v>17.408299999999997</v>
      </c>
      <c r="J106" s="88">
        <f t="shared" si="59"/>
        <v>17.408299999999997</v>
      </c>
      <c r="K106" s="88">
        <f t="shared" si="59"/>
        <v>17.408299999999997</v>
      </c>
      <c r="L106" s="88">
        <f t="shared" si="59"/>
        <v>17.408299999999997</v>
      </c>
      <c r="M106" s="88">
        <f t="shared" si="59"/>
        <v>17.408299999999997</v>
      </c>
      <c r="N106" s="40">
        <f t="shared" si="59"/>
        <v>17.408299999999997</v>
      </c>
    </row>
    <row r="107" spans="1:15" ht="15.75" customHeight="1" x14ac:dyDescent="0.2">
      <c r="B107" s="40"/>
      <c r="D107" s="38"/>
    </row>
    <row r="108" spans="1:15" ht="15.75" customHeight="1" x14ac:dyDescent="0.2">
      <c r="A108" s="68" t="s">
        <v>128</v>
      </c>
      <c r="B108" s="40"/>
      <c r="D108" s="38"/>
    </row>
    <row r="109" spans="1:15" ht="15.75" customHeight="1" x14ac:dyDescent="0.2">
      <c r="A109" s="67" t="s">
        <v>3</v>
      </c>
      <c r="B109" s="89">
        <f>(B88/1000)*B106</f>
        <v>835.59839999999986</v>
      </c>
      <c r="C109" s="89">
        <f t="shared" ref="C109:M109" si="60">(C88/1000)*C106</f>
        <v>835.59839999999986</v>
      </c>
      <c r="D109" s="89">
        <f t="shared" si="60"/>
        <v>835.59839999999986</v>
      </c>
      <c r="E109" s="89">
        <f t="shared" si="60"/>
        <v>731.14859999999987</v>
      </c>
      <c r="F109" s="89">
        <f t="shared" si="60"/>
        <v>731.14859999999987</v>
      </c>
      <c r="G109" s="89">
        <f t="shared" si="60"/>
        <v>1044.4979999999998</v>
      </c>
      <c r="H109" s="89">
        <f t="shared" si="60"/>
        <v>2088.9959999999996</v>
      </c>
      <c r="I109" s="89">
        <f t="shared" si="60"/>
        <v>2088.9959999999996</v>
      </c>
      <c r="J109" s="89">
        <f t="shared" si="60"/>
        <v>1044.4979999999998</v>
      </c>
      <c r="K109" s="89">
        <f t="shared" si="60"/>
        <v>731.14859999999987</v>
      </c>
      <c r="L109" s="89">
        <f t="shared" si="60"/>
        <v>731.14859999999987</v>
      </c>
      <c r="M109" s="89">
        <f t="shared" si="60"/>
        <v>835.59839999999986</v>
      </c>
      <c r="N109" s="89">
        <f>SUM(B109:M109)</f>
        <v>12533.975999999999</v>
      </c>
    </row>
    <row r="110" spans="1:15" ht="15.75" customHeight="1" x14ac:dyDescent="0.2">
      <c r="A110" s="67" t="s">
        <v>63</v>
      </c>
      <c r="B110" s="89">
        <f>(B89/1000)*B106</f>
        <v>278.53279999999995</v>
      </c>
      <c r="C110" s="89">
        <f t="shared" ref="C110:M110" si="61">(C89/1000)*C106</f>
        <v>278.53279999999995</v>
      </c>
      <c r="D110" s="89">
        <f t="shared" si="61"/>
        <v>278.53279999999995</v>
      </c>
      <c r="E110" s="89">
        <f t="shared" si="61"/>
        <v>243.71619999999996</v>
      </c>
      <c r="F110" s="89">
        <f t="shared" si="61"/>
        <v>243.71619999999996</v>
      </c>
      <c r="G110" s="89">
        <f t="shared" si="61"/>
        <v>348.16599999999994</v>
      </c>
      <c r="H110" s="89">
        <f t="shared" si="61"/>
        <v>696.33199999999988</v>
      </c>
      <c r="I110" s="89">
        <f t="shared" si="61"/>
        <v>696.33199999999988</v>
      </c>
      <c r="J110" s="89">
        <f t="shared" si="61"/>
        <v>348.16599999999994</v>
      </c>
      <c r="K110" s="89">
        <f t="shared" si="61"/>
        <v>243.71619999999996</v>
      </c>
      <c r="L110" s="89">
        <f t="shared" si="61"/>
        <v>243.71619999999996</v>
      </c>
      <c r="M110" s="89">
        <f t="shared" si="61"/>
        <v>278.53279999999995</v>
      </c>
      <c r="N110" s="89">
        <f>SUM(B110:M110)</f>
        <v>4177.9919999999984</v>
      </c>
    </row>
    <row r="111" spans="1:15" ht="15.75" customHeight="1" x14ac:dyDescent="0.2">
      <c r="A111" s="67" t="s">
        <v>4</v>
      </c>
      <c r="B111" s="89">
        <f>(B90/1000)*B106</f>
        <v>1810.4631999999997</v>
      </c>
      <c r="C111" s="89">
        <f t="shared" ref="C111:M111" si="62">(C90/1000)*C106</f>
        <v>1810.4631999999997</v>
      </c>
      <c r="D111" s="89">
        <f t="shared" si="62"/>
        <v>1810.4631999999997</v>
      </c>
      <c r="E111" s="89">
        <f t="shared" si="62"/>
        <v>1584.1552999999997</v>
      </c>
      <c r="F111" s="89">
        <f t="shared" si="62"/>
        <v>1584.1552999999997</v>
      </c>
      <c r="G111" s="89">
        <f t="shared" si="62"/>
        <v>2263.0789999999997</v>
      </c>
      <c r="H111" s="89">
        <f t="shared" si="62"/>
        <v>4526.1579999999994</v>
      </c>
      <c r="I111" s="89">
        <f t="shared" si="62"/>
        <v>4526.1579999999994</v>
      </c>
      <c r="J111" s="89">
        <f t="shared" si="62"/>
        <v>2263.0789999999997</v>
      </c>
      <c r="K111" s="89">
        <f t="shared" si="62"/>
        <v>1584.1552999999997</v>
      </c>
      <c r="L111" s="89">
        <f t="shared" si="62"/>
        <v>1584.1552999999997</v>
      </c>
      <c r="M111" s="89">
        <f t="shared" si="62"/>
        <v>1810.4631999999997</v>
      </c>
      <c r="N111" s="90">
        <f t="shared" ref="N111:N124" si="63">SUM(B111:M111)</f>
        <v>27156.947999999989</v>
      </c>
    </row>
    <row r="112" spans="1:15" ht="15.75" customHeight="1" x14ac:dyDescent="0.2">
      <c r="A112" s="67" t="s">
        <v>5</v>
      </c>
      <c r="B112" s="89">
        <f>(B91/1000)*B106</f>
        <v>557.0655999999999</v>
      </c>
      <c r="C112" s="89">
        <f t="shared" ref="C112:M112" si="64">(C91/1000)*C106</f>
        <v>557.0655999999999</v>
      </c>
      <c r="D112" s="89">
        <f t="shared" si="64"/>
        <v>557.0655999999999</v>
      </c>
      <c r="E112" s="89">
        <f t="shared" si="64"/>
        <v>487.43239999999992</v>
      </c>
      <c r="F112" s="89">
        <f t="shared" si="64"/>
        <v>487.43239999999992</v>
      </c>
      <c r="G112" s="89">
        <f t="shared" si="64"/>
        <v>696.33199999999988</v>
      </c>
      <c r="H112" s="89">
        <f t="shared" si="64"/>
        <v>1392.6639999999998</v>
      </c>
      <c r="I112" s="89">
        <f t="shared" si="64"/>
        <v>1392.6639999999998</v>
      </c>
      <c r="J112" s="89">
        <f t="shared" si="64"/>
        <v>696.33199999999988</v>
      </c>
      <c r="K112" s="89">
        <f t="shared" si="64"/>
        <v>487.43239999999992</v>
      </c>
      <c r="L112" s="89">
        <f t="shared" si="64"/>
        <v>487.43239999999992</v>
      </c>
      <c r="M112" s="89">
        <f t="shared" si="64"/>
        <v>557.0655999999999</v>
      </c>
      <c r="N112" s="90">
        <f t="shared" si="63"/>
        <v>8355.9839999999967</v>
      </c>
    </row>
    <row r="113" spans="1:14" ht="15.75" customHeight="1" x14ac:dyDescent="0.2">
      <c r="A113" s="67" t="s">
        <v>66</v>
      </c>
      <c r="B113" s="89">
        <f>(B92/1000)*B106</f>
        <v>417.79919999999993</v>
      </c>
      <c r="C113" s="89">
        <f t="shared" ref="C113:M113" si="65">(C92/1000)*C106</f>
        <v>417.79919999999993</v>
      </c>
      <c r="D113" s="89">
        <f t="shared" si="65"/>
        <v>417.79919999999993</v>
      </c>
      <c r="E113" s="89">
        <f t="shared" si="65"/>
        <v>365.57429999999994</v>
      </c>
      <c r="F113" s="89">
        <f t="shared" si="65"/>
        <v>365.57429999999994</v>
      </c>
      <c r="G113" s="89">
        <f t="shared" si="65"/>
        <v>522.24899999999991</v>
      </c>
      <c r="H113" s="89">
        <f t="shared" si="65"/>
        <v>1044.4979999999998</v>
      </c>
      <c r="I113" s="89">
        <f t="shared" si="65"/>
        <v>1044.4979999999998</v>
      </c>
      <c r="J113" s="89">
        <f t="shared" si="65"/>
        <v>522.24899999999991</v>
      </c>
      <c r="K113" s="89">
        <f t="shared" si="65"/>
        <v>365.57429999999994</v>
      </c>
      <c r="L113" s="89">
        <f t="shared" si="65"/>
        <v>365.57429999999994</v>
      </c>
      <c r="M113" s="89">
        <f t="shared" si="65"/>
        <v>417.79919999999993</v>
      </c>
      <c r="N113" s="90">
        <f t="shared" si="63"/>
        <v>6266.9879999999994</v>
      </c>
    </row>
    <row r="114" spans="1:14" ht="15.75" customHeight="1" x14ac:dyDescent="0.2">
      <c r="A114" s="67" t="s">
        <v>67</v>
      </c>
      <c r="B114" s="89">
        <f>(B93/1000)*B106</f>
        <v>278.53279999999995</v>
      </c>
      <c r="C114" s="89">
        <f t="shared" ref="C114:M114" si="66">(C93/1000)*C106</f>
        <v>278.53279999999995</v>
      </c>
      <c r="D114" s="89">
        <f t="shared" si="66"/>
        <v>278.53279999999995</v>
      </c>
      <c r="E114" s="89">
        <f t="shared" si="66"/>
        <v>243.71619999999996</v>
      </c>
      <c r="F114" s="89">
        <f t="shared" si="66"/>
        <v>243.71619999999996</v>
      </c>
      <c r="G114" s="89">
        <f t="shared" si="66"/>
        <v>348.16599999999994</v>
      </c>
      <c r="H114" s="89">
        <f t="shared" si="66"/>
        <v>696.33199999999988</v>
      </c>
      <c r="I114" s="89">
        <f t="shared" si="66"/>
        <v>696.33199999999988</v>
      </c>
      <c r="J114" s="89">
        <f t="shared" si="66"/>
        <v>348.16599999999994</v>
      </c>
      <c r="K114" s="89">
        <f t="shared" si="66"/>
        <v>243.71619999999996</v>
      </c>
      <c r="L114" s="89">
        <f t="shared" si="66"/>
        <v>243.71619999999996</v>
      </c>
      <c r="M114" s="89">
        <f t="shared" si="66"/>
        <v>278.53279999999995</v>
      </c>
      <c r="N114" s="90">
        <f t="shared" si="63"/>
        <v>4177.9919999999984</v>
      </c>
    </row>
    <row r="115" spans="1:14" ht="15.75" customHeight="1" x14ac:dyDescent="0.2">
      <c r="A115" s="67" t="s">
        <v>6</v>
      </c>
      <c r="B115" s="89">
        <f>(B94/1000)*B106</f>
        <v>1810.4631999999997</v>
      </c>
      <c r="C115" s="89">
        <f t="shared" ref="C115:M115" si="67">(C94/1000)*C106</f>
        <v>1810.4631999999997</v>
      </c>
      <c r="D115" s="89">
        <f t="shared" si="67"/>
        <v>1810.4631999999997</v>
      </c>
      <c r="E115" s="89">
        <f t="shared" si="67"/>
        <v>1584.1552999999997</v>
      </c>
      <c r="F115" s="89">
        <f t="shared" si="67"/>
        <v>1584.1552999999997</v>
      </c>
      <c r="G115" s="89">
        <f t="shared" si="67"/>
        <v>2263.0789999999997</v>
      </c>
      <c r="H115" s="89">
        <f t="shared" si="67"/>
        <v>4526.1579999999994</v>
      </c>
      <c r="I115" s="89">
        <f t="shared" si="67"/>
        <v>4526.1579999999994</v>
      </c>
      <c r="J115" s="89">
        <f t="shared" si="67"/>
        <v>2263.0789999999997</v>
      </c>
      <c r="K115" s="89">
        <f t="shared" si="67"/>
        <v>1584.1552999999997</v>
      </c>
      <c r="L115" s="89">
        <f t="shared" si="67"/>
        <v>1584.1552999999997</v>
      </c>
      <c r="M115" s="89">
        <f t="shared" si="67"/>
        <v>1810.4631999999997</v>
      </c>
      <c r="N115" s="90">
        <f t="shared" si="63"/>
        <v>27156.947999999989</v>
      </c>
    </row>
    <row r="116" spans="1:14" ht="15.75" customHeight="1" x14ac:dyDescent="0.2">
      <c r="A116" s="67" t="s">
        <v>7</v>
      </c>
      <c r="B116" s="89">
        <f>(B95/1000)*B106</f>
        <v>696.33199999999988</v>
      </c>
      <c r="C116" s="89">
        <f t="shared" ref="C116:M116" si="68">(C95/1000)*C106</f>
        <v>696.33199999999988</v>
      </c>
      <c r="D116" s="89">
        <f t="shared" si="68"/>
        <v>696.33199999999988</v>
      </c>
      <c r="E116" s="89">
        <f t="shared" si="68"/>
        <v>609.29049999999984</v>
      </c>
      <c r="F116" s="89">
        <f t="shared" si="68"/>
        <v>609.29049999999984</v>
      </c>
      <c r="G116" s="89">
        <f t="shared" si="68"/>
        <v>870.41499999999985</v>
      </c>
      <c r="H116" s="89">
        <f t="shared" si="68"/>
        <v>1740.8299999999997</v>
      </c>
      <c r="I116" s="89">
        <f t="shared" si="68"/>
        <v>1740.8299999999997</v>
      </c>
      <c r="J116" s="89">
        <f t="shared" si="68"/>
        <v>870.41499999999985</v>
      </c>
      <c r="K116" s="89">
        <f t="shared" si="68"/>
        <v>609.29049999999984</v>
      </c>
      <c r="L116" s="89">
        <f t="shared" si="68"/>
        <v>609.29049999999984</v>
      </c>
      <c r="M116" s="89">
        <f t="shared" si="68"/>
        <v>696.33199999999988</v>
      </c>
      <c r="N116" s="90">
        <f t="shared" si="63"/>
        <v>10444.979999999998</v>
      </c>
    </row>
    <row r="117" spans="1:14" ht="15.75" customHeight="1" x14ac:dyDescent="0.2">
      <c r="A117" s="67" t="s">
        <v>8</v>
      </c>
      <c r="B117" s="89">
        <f>(B96/1000)*B106</f>
        <v>696.33199999999988</v>
      </c>
      <c r="C117" s="89">
        <f t="shared" ref="C117:M117" si="69">(C96/1000)*C106</f>
        <v>696.33199999999988</v>
      </c>
      <c r="D117" s="89">
        <f t="shared" si="69"/>
        <v>696.33199999999988</v>
      </c>
      <c r="E117" s="89">
        <f t="shared" si="69"/>
        <v>609.29049999999984</v>
      </c>
      <c r="F117" s="89">
        <f t="shared" si="69"/>
        <v>609.29049999999984</v>
      </c>
      <c r="G117" s="89">
        <f t="shared" si="69"/>
        <v>870.41499999999985</v>
      </c>
      <c r="H117" s="89">
        <f t="shared" si="69"/>
        <v>1740.8299999999997</v>
      </c>
      <c r="I117" s="89">
        <f t="shared" si="69"/>
        <v>1740.8299999999997</v>
      </c>
      <c r="J117" s="89">
        <f t="shared" si="69"/>
        <v>870.41499999999985</v>
      </c>
      <c r="K117" s="89">
        <f t="shared" si="69"/>
        <v>609.29049999999984</v>
      </c>
      <c r="L117" s="89">
        <f t="shared" si="69"/>
        <v>609.29049999999984</v>
      </c>
      <c r="M117" s="89">
        <f t="shared" si="69"/>
        <v>696.33199999999988</v>
      </c>
      <c r="N117" s="90">
        <f t="shared" si="63"/>
        <v>10444.979999999998</v>
      </c>
    </row>
    <row r="118" spans="1:14" ht="15.75" customHeight="1" x14ac:dyDescent="0.2">
      <c r="A118" s="67" t="s">
        <v>71</v>
      </c>
      <c r="B118" s="89">
        <f>(B97/1000)*B106</f>
        <v>278.53279999999995</v>
      </c>
      <c r="C118" s="89">
        <f t="shared" ref="C118:M118" si="70">(C97/1000)*C106</f>
        <v>278.53279999999995</v>
      </c>
      <c r="D118" s="89">
        <f t="shared" si="70"/>
        <v>278.53279999999995</v>
      </c>
      <c r="E118" s="89">
        <f t="shared" si="70"/>
        <v>243.71619999999996</v>
      </c>
      <c r="F118" s="89">
        <f t="shared" si="70"/>
        <v>243.71619999999996</v>
      </c>
      <c r="G118" s="89">
        <f t="shared" si="70"/>
        <v>348.16599999999994</v>
      </c>
      <c r="H118" s="89">
        <f t="shared" si="70"/>
        <v>696.33199999999988</v>
      </c>
      <c r="I118" s="89">
        <f t="shared" si="70"/>
        <v>696.33199999999988</v>
      </c>
      <c r="J118" s="89">
        <f t="shared" si="70"/>
        <v>348.16599999999994</v>
      </c>
      <c r="K118" s="89">
        <f t="shared" si="70"/>
        <v>243.71619999999996</v>
      </c>
      <c r="L118" s="89">
        <f t="shared" si="70"/>
        <v>243.71619999999996</v>
      </c>
      <c r="M118" s="89">
        <f t="shared" si="70"/>
        <v>278.53279999999995</v>
      </c>
      <c r="N118" s="90">
        <f t="shared" si="63"/>
        <v>4177.9919999999984</v>
      </c>
    </row>
    <row r="119" spans="1:14" ht="15.75" customHeight="1" x14ac:dyDescent="0.2">
      <c r="A119" s="67" t="s">
        <v>9</v>
      </c>
      <c r="B119" s="89">
        <f>(B98/1000)*B106</f>
        <v>557.0655999999999</v>
      </c>
      <c r="C119" s="89">
        <f t="shared" ref="C119:M119" si="71">(C98/1000)*C106</f>
        <v>557.0655999999999</v>
      </c>
      <c r="D119" s="89">
        <f t="shared" si="71"/>
        <v>557.0655999999999</v>
      </c>
      <c r="E119" s="89">
        <f t="shared" si="71"/>
        <v>487.43239999999992</v>
      </c>
      <c r="F119" s="89">
        <f t="shared" si="71"/>
        <v>487.43239999999992</v>
      </c>
      <c r="G119" s="89">
        <f t="shared" si="71"/>
        <v>696.33199999999988</v>
      </c>
      <c r="H119" s="89">
        <f t="shared" si="71"/>
        <v>1392.6639999999998</v>
      </c>
      <c r="I119" s="89">
        <f t="shared" si="71"/>
        <v>1392.6639999999998</v>
      </c>
      <c r="J119" s="89">
        <f t="shared" si="71"/>
        <v>696.33199999999988</v>
      </c>
      <c r="K119" s="89">
        <f t="shared" si="71"/>
        <v>487.43239999999992</v>
      </c>
      <c r="L119" s="89">
        <f t="shared" si="71"/>
        <v>487.43239999999992</v>
      </c>
      <c r="M119" s="89">
        <f t="shared" si="71"/>
        <v>557.0655999999999</v>
      </c>
      <c r="N119" s="90">
        <f t="shared" si="63"/>
        <v>8355.9839999999967</v>
      </c>
    </row>
    <row r="120" spans="1:14" ht="15.75" customHeight="1" x14ac:dyDescent="0.2">
      <c r="A120" s="67" t="s">
        <v>10</v>
      </c>
      <c r="B120" s="89">
        <f>(B99/1000)*B106</f>
        <v>1392.6639999999998</v>
      </c>
      <c r="C120" s="89">
        <f t="shared" ref="C120:M120" si="72">(C99/1000)*C106</f>
        <v>1392.6639999999998</v>
      </c>
      <c r="D120" s="89">
        <f t="shared" si="72"/>
        <v>1392.6639999999998</v>
      </c>
      <c r="E120" s="89">
        <f t="shared" si="72"/>
        <v>1218.5809999999997</v>
      </c>
      <c r="F120" s="89">
        <f t="shared" si="72"/>
        <v>1218.5809999999997</v>
      </c>
      <c r="G120" s="89">
        <f t="shared" si="72"/>
        <v>1740.8299999999997</v>
      </c>
      <c r="H120" s="89">
        <f t="shared" si="72"/>
        <v>3481.6599999999994</v>
      </c>
      <c r="I120" s="89">
        <f t="shared" si="72"/>
        <v>3481.6599999999994</v>
      </c>
      <c r="J120" s="89">
        <f t="shared" si="72"/>
        <v>1740.8299999999997</v>
      </c>
      <c r="K120" s="89">
        <f t="shared" si="72"/>
        <v>1218.5809999999997</v>
      </c>
      <c r="L120" s="89">
        <f t="shared" si="72"/>
        <v>1218.5809999999997</v>
      </c>
      <c r="M120" s="89">
        <f t="shared" si="72"/>
        <v>1392.6639999999998</v>
      </c>
      <c r="N120" s="90">
        <f t="shared" si="63"/>
        <v>20889.959999999995</v>
      </c>
    </row>
    <row r="121" spans="1:14" ht="15.75" customHeight="1" x14ac:dyDescent="0.2">
      <c r="A121" s="67" t="s">
        <v>73</v>
      </c>
      <c r="B121" s="89">
        <f>(B100/1000)*B106</f>
        <v>139.26639999999998</v>
      </c>
      <c r="C121" s="89">
        <f t="shared" ref="C121:M121" si="73">(C100/1000)*C106</f>
        <v>139.26639999999998</v>
      </c>
      <c r="D121" s="89">
        <f t="shared" si="73"/>
        <v>139.26639999999998</v>
      </c>
      <c r="E121" s="89">
        <f t="shared" si="73"/>
        <v>121.85809999999998</v>
      </c>
      <c r="F121" s="89">
        <f t="shared" si="73"/>
        <v>121.85809999999998</v>
      </c>
      <c r="G121" s="89">
        <f t="shared" si="73"/>
        <v>174.08299999999997</v>
      </c>
      <c r="H121" s="89">
        <f t="shared" si="73"/>
        <v>348.16599999999994</v>
      </c>
      <c r="I121" s="89">
        <f t="shared" si="73"/>
        <v>348.16599999999994</v>
      </c>
      <c r="J121" s="89">
        <f t="shared" si="73"/>
        <v>174.08299999999997</v>
      </c>
      <c r="K121" s="89">
        <f t="shared" si="73"/>
        <v>121.85809999999998</v>
      </c>
      <c r="L121" s="89">
        <f t="shared" si="73"/>
        <v>121.85809999999998</v>
      </c>
      <c r="M121" s="89">
        <f t="shared" si="73"/>
        <v>139.26639999999998</v>
      </c>
      <c r="N121" s="90">
        <f t="shared" si="63"/>
        <v>2088.9959999999992</v>
      </c>
    </row>
    <row r="122" spans="1:14" ht="15.75" customHeight="1" x14ac:dyDescent="0.2">
      <c r="A122" s="67" t="s">
        <v>72</v>
      </c>
      <c r="B122" s="89">
        <f>(B101/1000)*B106</f>
        <v>139.26639999999998</v>
      </c>
      <c r="C122" s="89">
        <f t="shared" ref="C122:M122" si="74">(C101/1000)*C106</f>
        <v>139.26639999999998</v>
      </c>
      <c r="D122" s="89">
        <f t="shared" si="74"/>
        <v>139.26639999999998</v>
      </c>
      <c r="E122" s="89">
        <f t="shared" si="74"/>
        <v>121.85809999999998</v>
      </c>
      <c r="F122" s="89">
        <f t="shared" si="74"/>
        <v>121.85809999999998</v>
      </c>
      <c r="G122" s="89">
        <f t="shared" si="74"/>
        <v>174.08299999999997</v>
      </c>
      <c r="H122" s="89">
        <f t="shared" si="74"/>
        <v>348.16599999999994</v>
      </c>
      <c r="I122" s="89">
        <f t="shared" si="74"/>
        <v>348.16599999999994</v>
      </c>
      <c r="J122" s="89">
        <f t="shared" si="74"/>
        <v>174.08299999999997</v>
      </c>
      <c r="K122" s="89">
        <f t="shared" si="74"/>
        <v>121.85809999999998</v>
      </c>
      <c r="L122" s="89">
        <f t="shared" si="74"/>
        <v>121.85809999999998</v>
      </c>
      <c r="M122" s="89">
        <f t="shared" si="74"/>
        <v>139.26639999999998</v>
      </c>
      <c r="N122" s="90">
        <f t="shared" si="63"/>
        <v>2088.9959999999992</v>
      </c>
    </row>
    <row r="123" spans="1:14" ht="15.75" customHeight="1" x14ac:dyDescent="0.2">
      <c r="A123" s="67" t="s">
        <v>74</v>
      </c>
      <c r="B123" s="89">
        <f>(B102/1000)*B106</f>
        <v>417.79919999999993</v>
      </c>
      <c r="C123" s="89">
        <f t="shared" ref="C123:M123" si="75">(C102/1000)*C106</f>
        <v>417.79919999999993</v>
      </c>
      <c r="D123" s="89">
        <f t="shared" si="75"/>
        <v>417.79919999999993</v>
      </c>
      <c r="E123" s="89">
        <f t="shared" si="75"/>
        <v>365.57429999999994</v>
      </c>
      <c r="F123" s="89">
        <f t="shared" si="75"/>
        <v>365.57429999999994</v>
      </c>
      <c r="G123" s="89">
        <f t="shared" si="75"/>
        <v>522.24899999999991</v>
      </c>
      <c r="H123" s="89">
        <f t="shared" si="75"/>
        <v>1044.4979999999998</v>
      </c>
      <c r="I123" s="89">
        <f t="shared" si="75"/>
        <v>1044.4979999999998</v>
      </c>
      <c r="J123" s="89">
        <f t="shared" si="75"/>
        <v>522.24899999999991</v>
      </c>
      <c r="K123" s="89">
        <f t="shared" si="75"/>
        <v>365.57429999999994</v>
      </c>
      <c r="L123" s="89">
        <f t="shared" si="75"/>
        <v>365.57429999999994</v>
      </c>
      <c r="M123" s="89">
        <f t="shared" si="75"/>
        <v>417.79919999999993</v>
      </c>
      <c r="N123" s="90">
        <f t="shared" si="63"/>
        <v>6266.9879999999994</v>
      </c>
    </row>
    <row r="124" spans="1:14" ht="15.75" customHeight="1" x14ac:dyDescent="0.2">
      <c r="A124" s="67" t="s">
        <v>11</v>
      </c>
      <c r="B124" s="91">
        <f>(B103/1000)*B106</f>
        <v>2646.0615999999995</v>
      </c>
      <c r="C124" s="91">
        <f t="shared" ref="C124:M124" si="76">(C103/1000)*C106</f>
        <v>2646.0615999999995</v>
      </c>
      <c r="D124" s="91">
        <f t="shared" si="76"/>
        <v>2646.0615999999995</v>
      </c>
      <c r="E124" s="91">
        <f t="shared" si="76"/>
        <v>2315.3038999999994</v>
      </c>
      <c r="F124" s="91">
        <f t="shared" si="76"/>
        <v>2315.3038999999994</v>
      </c>
      <c r="G124" s="91">
        <f t="shared" si="76"/>
        <v>3307.5769999999993</v>
      </c>
      <c r="H124" s="91">
        <f t="shared" si="76"/>
        <v>6615.1539999999986</v>
      </c>
      <c r="I124" s="91">
        <f t="shared" si="76"/>
        <v>6615.1539999999986</v>
      </c>
      <c r="J124" s="91">
        <f t="shared" si="76"/>
        <v>3307.5769999999993</v>
      </c>
      <c r="K124" s="91">
        <f t="shared" si="76"/>
        <v>2315.3038999999994</v>
      </c>
      <c r="L124" s="91">
        <f t="shared" si="76"/>
        <v>2315.3038999999994</v>
      </c>
      <c r="M124" s="91">
        <f t="shared" si="76"/>
        <v>2646.0615999999995</v>
      </c>
      <c r="N124" s="92">
        <f t="shared" si="63"/>
        <v>39690.923999999992</v>
      </c>
    </row>
    <row r="125" spans="1:14" ht="15.75" customHeight="1" x14ac:dyDescent="0.2">
      <c r="A125" s="66" t="s">
        <v>109</v>
      </c>
      <c r="B125" s="75">
        <f>SUM(B109:B124)</f>
        <v>12951.7752</v>
      </c>
      <c r="C125" s="75">
        <f t="shared" ref="C125:N125" si="77">SUM(C109:C124)</f>
        <v>12951.7752</v>
      </c>
      <c r="D125" s="75">
        <f t="shared" si="77"/>
        <v>12951.7752</v>
      </c>
      <c r="E125" s="75">
        <f t="shared" si="77"/>
        <v>11332.803299999996</v>
      </c>
      <c r="F125" s="75">
        <f t="shared" si="77"/>
        <v>11332.803299999996</v>
      </c>
      <c r="G125" s="75">
        <f t="shared" si="77"/>
        <v>16189.718999999997</v>
      </c>
      <c r="H125" s="75">
        <f t="shared" si="77"/>
        <v>32379.437999999995</v>
      </c>
      <c r="I125" s="75">
        <f t="shared" si="77"/>
        <v>32379.437999999995</v>
      </c>
      <c r="J125" s="75">
        <f t="shared" si="77"/>
        <v>16189.718999999997</v>
      </c>
      <c r="K125" s="75">
        <f t="shared" si="77"/>
        <v>11332.803299999996</v>
      </c>
      <c r="L125" s="75">
        <f t="shared" si="77"/>
        <v>11332.803299999996</v>
      </c>
      <c r="M125" s="75">
        <f t="shared" si="77"/>
        <v>12951.7752</v>
      </c>
      <c r="N125" s="75">
        <f t="shared" si="77"/>
        <v>194276.62799999997</v>
      </c>
    </row>
    <row r="126" spans="1:14" ht="15.75" customHeight="1" x14ac:dyDescent="0.2">
      <c r="A126" s="66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  <row r="127" spans="1:14" ht="15.75" customHeight="1" x14ac:dyDescent="0.2">
      <c r="A127" s="68" t="s">
        <v>143</v>
      </c>
      <c r="B127" s="110">
        <f>(B106/10)</f>
        <v>1.7408299999999997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</row>
    <row r="128" spans="1:14" ht="15.75" customHeight="1" x14ac:dyDescent="0.2">
      <c r="A128" s="67" t="s">
        <v>3</v>
      </c>
      <c r="B128" s="108">
        <f>((B48*1.2)/12)*$B$127</f>
        <v>0</v>
      </c>
      <c r="C128" s="108">
        <f t="shared" ref="C128:M128" si="78">((C48*1.2)/12)*$B$127</f>
        <v>0</v>
      </c>
      <c r="D128" s="108">
        <f t="shared" si="78"/>
        <v>0</v>
      </c>
      <c r="E128" s="108">
        <f t="shared" si="78"/>
        <v>0</v>
      </c>
      <c r="F128" s="108">
        <f t="shared" si="78"/>
        <v>0</v>
      </c>
      <c r="G128" s="108">
        <f t="shared" si="78"/>
        <v>0</v>
      </c>
      <c r="H128" s="108">
        <f t="shared" si="78"/>
        <v>0</v>
      </c>
      <c r="I128" s="108">
        <f t="shared" si="78"/>
        <v>0</v>
      </c>
      <c r="J128" s="108">
        <f t="shared" si="78"/>
        <v>0</v>
      </c>
      <c r="K128" s="108">
        <f t="shared" si="78"/>
        <v>0</v>
      </c>
      <c r="L128" s="108">
        <f t="shared" si="78"/>
        <v>0</v>
      </c>
      <c r="M128" s="108">
        <f t="shared" si="78"/>
        <v>0</v>
      </c>
      <c r="N128" s="108">
        <f>SUM(B128:M128)</f>
        <v>0</v>
      </c>
    </row>
    <row r="129" spans="1:14" ht="15.75" customHeight="1" x14ac:dyDescent="0.2">
      <c r="A129" s="67" t="s">
        <v>63</v>
      </c>
      <c r="B129" s="108">
        <f t="shared" ref="B129:M129" si="79">((B49*1.2)/12)*$B$127</f>
        <v>0</v>
      </c>
      <c r="C129" s="108">
        <f t="shared" si="79"/>
        <v>0</v>
      </c>
      <c r="D129" s="108">
        <f t="shared" si="79"/>
        <v>0</v>
      </c>
      <c r="E129" s="108">
        <f t="shared" si="79"/>
        <v>0</v>
      </c>
      <c r="F129" s="108">
        <f t="shared" si="79"/>
        <v>0</v>
      </c>
      <c r="G129" s="108">
        <f t="shared" si="79"/>
        <v>0</v>
      </c>
      <c r="H129" s="108">
        <f t="shared" si="79"/>
        <v>0</v>
      </c>
      <c r="I129" s="108">
        <f t="shared" si="79"/>
        <v>0</v>
      </c>
      <c r="J129" s="108">
        <f t="shared" si="79"/>
        <v>0</v>
      </c>
      <c r="K129" s="108">
        <f t="shared" si="79"/>
        <v>0</v>
      </c>
      <c r="L129" s="108">
        <f t="shared" si="79"/>
        <v>0</v>
      </c>
      <c r="M129" s="108">
        <f t="shared" si="79"/>
        <v>0</v>
      </c>
      <c r="N129" s="108">
        <f t="shared" ref="N129:N143" si="80">SUM(B129:M129)</f>
        <v>0</v>
      </c>
    </row>
    <row r="130" spans="1:14" ht="15.75" customHeight="1" x14ac:dyDescent="0.2">
      <c r="A130" s="67" t="s">
        <v>4</v>
      </c>
      <c r="B130" s="108">
        <f t="shared" ref="B130:M130" si="81">((B50*1.2)/12)*$B$127</f>
        <v>34.816599999999994</v>
      </c>
      <c r="C130" s="108">
        <f t="shared" si="81"/>
        <v>34.816599999999994</v>
      </c>
      <c r="D130" s="108">
        <f t="shared" si="81"/>
        <v>34.816599999999994</v>
      </c>
      <c r="E130" s="108">
        <f t="shared" si="81"/>
        <v>34.816599999999994</v>
      </c>
      <c r="F130" s="108">
        <f t="shared" si="81"/>
        <v>34.816599999999994</v>
      </c>
      <c r="G130" s="108">
        <f t="shared" si="81"/>
        <v>34.816599999999994</v>
      </c>
      <c r="H130" s="108">
        <f t="shared" si="81"/>
        <v>34.816599999999994</v>
      </c>
      <c r="I130" s="108">
        <f t="shared" si="81"/>
        <v>34.816599999999994</v>
      </c>
      <c r="J130" s="108">
        <f t="shared" si="81"/>
        <v>34.816599999999994</v>
      </c>
      <c r="K130" s="108">
        <f t="shared" si="81"/>
        <v>34.816599999999994</v>
      </c>
      <c r="L130" s="108">
        <f t="shared" si="81"/>
        <v>34.816599999999994</v>
      </c>
      <c r="M130" s="108">
        <f t="shared" si="81"/>
        <v>34.816599999999994</v>
      </c>
      <c r="N130" s="108">
        <f t="shared" si="80"/>
        <v>417.79919999999993</v>
      </c>
    </row>
    <row r="131" spans="1:14" ht="15.75" customHeight="1" x14ac:dyDescent="0.2">
      <c r="A131" s="67" t="s">
        <v>5</v>
      </c>
      <c r="B131" s="108">
        <f t="shared" ref="B131:M133" si="82">((B51*1.2)/12)*$B$127</f>
        <v>17.408299999999997</v>
      </c>
      <c r="C131" s="108">
        <f t="shared" si="82"/>
        <v>17.408299999999997</v>
      </c>
      <c r="D131" s="108">
        <f t="shared" si="82"/>
        <v>17.408299999999997</v>
      </c>
      <c r="E131" s="108">
        <f t="shared" si="82"/>
        <v>17.408299999999997</v>
      </c>
      <c r="F131" s="108">
        <f t="shared" si="82"/>
        <v>17.408299999999997</v>
      </c>
      <c r="G131" s="108">
        <f t="shared" si="82"/>
        <v>17.408299999999997</v>
      </c>
      <c r="H131" s="108">
        <f t="shared" si="82"/>
        <v>17.408299999999997</v>
      </c>
      <c r="I131" s="108">
        <f t="shared" si="82"/>
        <v>17.408299999999997</v>
      </c>
      <c r="J131" s="108">
        <f t="shared" si="82"/>
        <v>17.408299999999997</v>
      </c>
      <c r="K131" s="108">
        <f t="shared" si="82"/>
        <v>17.408299999999997</v>
      </c>
      <c r="L131" s="108">
        <f t="shared" si="82"/>
        <v>17.408299999999997</v>
      </c>
      <c r="M131" s="108">
        <f t="shared" si="82"/>
        <v>17.408299999999997</v>
      </c>
      <c r="N131" s="108">
        <f t="shared" si="80"/>
        <v>208.89959999999996</v>
      </c>
    </row>
    <row r="132" spans="1:14" ht="15.75" customHeight="1" x14ac:dyDescent="0.2">
      <c r="A132" s="67" t="s">
        <v>66</v>
      </c>
      <c r="B132" s="108">
        <f>((B52*1.2)/12)*$B$127</f>
        <v>0</v>
      </c>
      <c r="C132" s="108">
        <f t="shared" si="82"/>
        <v>0</v>
      </c>
      <c r="D132" s="108">
        <f t="shared" si="82"/>
        <v>0</v>
      </c>
      <c r="E132" s="108">
        <f t="shared" si="82"/>
        <v>0</v>
      </c>
      <c r="F132" s="108">
        <f t="shared" si="82"/>
        <v>0</v>
      </c>
      <c r="G132" s="108">
        <f t="shared" si="82"/>
        <v>0</v>
      </c>
      <c r="H132" s="108">
        <f t="shared" si="82"/>
        <v>0</v>
      </c>
      <c r="I132" s="108">
        <f t="shared" si="82"/>
        <v>0</v>
      </c>
      <c r="J132" s="108">
        <f t="shared" si="82"/>
        <v>0</v>
      </c>
      <c r="K132" s="108">
        <f t="shared" si="82"/>
        <v>0</v>
      </c>
      <c r="L132" s="108">
        <f t="shared" si="82"/>
        <v>0</v>
      </c>
      <c r="M132" s="108">
        <f t="shared" si="82"/>
        <v>0</v>
      </c>
      <c r="N132" s="108">
        <f t="shared" si="80"/>
        <v>0</v>
      </c>
    </row>
    <row r="133" spans="1:14" ht="15.75" customHeight="1" x14ac:dyDescent="0.2">
      <c r="A133" s="67" t="s">
        <v>67</v>
      </c>
      <c r="B133" s="108">
        <f>((B53*1.2)/12)*$B$127</f>
        <v>0</v>
      </c>
      <c r="C133" s="108">
        <f t="shared" si="82"/>
        <v>0</v>
      </c>
      <c r="D133" s="108">
        <f t="shared" si="82"/>
        <v>0</v>
      </c>
      <c r="E133" s="108">
        <f t="shared" si="82"/>
        <v>0</v>
      </c>
      <c r="F133" s="108">
        <f t="shared" si="82"/>
        <v>0</v>
      </c>
      <c r="G133" s="108">
        <f t="shared" si="82"/>
        <v>0</v>
      </c>
      <c r="H133" s="108">
        <f t="shared" si="82"/>
        <v>0</v>
      </c>
      <c r="I133" s="108">
        <f t="shared" si="82"/>
        <v>0</v>
      </c>
      <c r="J133" s="108">
        <f t="shared" si="82"/>
        <v>0</v>
      </c>
      <c r="K133" s="108">
        <f t="shared" si="82"/>
        <v>0</v>
      </c>
      <c r="L133" s="108">
        <f t="shared" si="82"/>
        <v>0</v>
      </c>
      <c r="M133" s="108">
        <f t="shared" si="82"/>
        <v>0</v>
      </c>
      <c r="N133" s="108"/>
    </row>
    <row r="134" spans="1:14" ht="15.75" customHeight="1" x14ac:dyDescent="0.2">
      <c r="A134" s="67" t="s">
        <v>6</v>
      </c>
      <c r="B134" s="108">
        <f t="shared" ref="B134:M134" si="83">((B54*1.2)/12)*$B$127</f>
        <v>69.633199999999988</v>
      </c>
      <c r="C134" s="108">
        <f t="shared" si="83"/>
        <v>69.633199999999988</v>
      </c>
      <c r="D134" s="108">
        <f t="shared" si="83"/>
        <v>69.633199999999988</v>
      </c>
      <c r="E134" s="108">
        <f t="shared" si="83"/>
        <v>69.633199999999988</v>
      </c>
      <c r="F134" s="108">
        <f t="shared" si="83"/>
        <v>69.633199999999988</v>
      </c>
      <c r="G134" s="108">
        <f t="shared" si="83"/>
        <v>69.633199999999988</v>
      </c>
      <c r="H134" s="108">
        <f t="shared" si="83"/>
        <v>69.633199999999988</v>
      </c>
      <c r="I134" s="108">
        <f t="shared" si="83"/>
        <v>69.633199999999988</v>
      </c>
      <c r="J134" s="108">
        <f t="shared" si="83"/>
        <v>69.633199999999988</v>
      </c>
      <c r="K134" s="108">
        <f t="shared" si="83"/>
        <v>69.633199999999988</v>
      </c>
      <c r="L134" s="108">
        <f t="shared" si="83"/>
        <v>69.633199999999988</v>
      </c>
      <c r="M134" s="108">
        <f t="shared" si="83"/>
        <v>69.633199999999988</v>
      </c>
      <c r="N134" s="108">
        <f t="shared" si="80"/>
        <v>835.59839999999986</v>
      </c>
    </row>
    <row r="135" spans="1:14" ht="15.75" customHeight="1" x14ac:dyDescent="0.2">
      <c r="A135" s="67" t="s">
        <v>7</v>
      </c>
      <c r="B135" s="108">
        <f t="shared" ref="B135:M135" si="84">((B55*1.2)/12)*$B$127</f>
        <v>17.408299999999997</v>
      </c>
      <c r="C135" s="108">
        <f t="shared" si="84"/>
        <v>17.408299999999997</v>
      </c>
      <c r="D135" s="108">
        <f t="shared" si="84"/>
        <v>17.408299999999997</v>
      </c>
      <c r="E135" s="108">
        <f t="shared" si="84"/>
        <v>17.408299999999997</v>
      </c>
      <c r="F135" s="108">
        <f t="shared" si="84"/>
        <v>17.408299999999997</v>
      </c>
      <c r="G135" s="108">
        <f t="shared" si="84"/>
        <v>17.408299999999997</v>
      </c>
      <c r="H135" s="108">
        <f t="shared" si="84"/>
        <v>17.408299999999997</v>
      </c>
      <c r="I135" s="108">
        <f t="shared" si="84"/>
        <v>17.408299999999997</v>
      </c>
      <c r="J135" s="108">
        <f t="shared" si="84"/>
        <v>17.408299999999997</v>
      </c>
      <c r="K135" s="108">
        <f t="shared" si="84"/>
        <v>17.408299999999997</v>
      </c>
      <c r="L135" s="108">
        <f t="shared" si="84"/>
        <v>17.408299999999997</v>
      </c>
      <c r="M135" s="108">
        <f t="shared" si="84"/>
        <v>17.408299999999997</v>
      </c>
      <c r="N135" s="108">
        <f t="shared" si="80"/>
        <v>208.89959999999996</v>
      </c>
    </row>
    <row r="136" spans="1:14" ht="15.75" customHeight="1" x14ac:dyDescent="0.2">
      <c r="A136" s="67" t="s">
        <v>8</v>
      </c>
      <c r="B136" s="108">
        <f t="shared" ref="B136:M136" si="85">((B56*1.2)/12)*$B$127</f>
        <v>17.408299999999997</v>
      </c>
      <c r="C136" s="108">
        <f t="shared" si="85"/>
        <v>17.408299999999997</v>
      </c>
      <c r="D136" s="108">
        <f t="shared" si="85"/>
        <v>17.408299999999997</v>
      </c>
      <c r="E136" s="108">
        <f t="shared" si="85"/>
        <v>17.408299999999997</v>
      </c>
      <c r="F136" s="108">
        <f t="shared" si="85"/>
        <v>17.408299999999997</v>
      </c>
      <c r="G136" s="108">
        <f t="shared" si="85"/>
        <v>17.408299999999997</v>
      </c>
      <c r="H136" s="108">
        <f t="shared" si="85"/>
        <v>17.408299999999997</v>
      </c>
      <c r="I136" s="108">
        <f t="shared" si="85"/>
        <v>17.408299999999997</v>
      </c>
      <c r="J136" s="108">
        <f t="shared" si="85"/>
        <v>17.408299999999997</v>
      </c>
      <c r="K136" s="108">
        <f t="shared" si="85"/>
        <v>17.408299999999997</v>
      </c>
      <c r="L136" s="108">
        <f t="shared" si="85"/>
        <v>17.408299999999997</v>
      </c>
      <c r="M136" s="108">
        <f t="shared" si="85"/>
        <v>17.408299999999997</v>
      </c>
      <c r="N136" s="108">
        <f t="shared" si="80"/>
        <v>208.89959999999996</v>
      </c>
    </row>
    <row r="137" spans="1:14" ht="15.75" customHeight="1" x14ac:dyDescent="0.2">
      <c r="A137" s="67" t="s">
        <v>71</v>
      </c>
      <c r="B137" s="108">
        <f t="shared" ref="B137:M137" si="86">((B57*1.2)/12)*$B$127</f>
        <v>0</v>
      </c>
      <c r="C137" s="108">
        <f t="shared" si="86"/>
        <v>0</v>
      </c>
      <c r="D137" s="108">
        <f t="shared" si="86"/>
        <v>0</v>
      </c>
      <c r="E137" s="108">
        <f t="shared" si="86"/>
        <v>0</v>
      </c>
      <c r="F137" s="108">
        <f t="shared" si="86"/>
        <v>0</v>
      </c>
      <c r="G137" s="108">
        <f t="shared" si="86"/>
        <v>0</v>
      </c>
      <c r="H137" s="108">
        <f t="shared" si="86"/>
        <v>0</v>
      </c>
      <c r="I137" s="108">
        <f t="shared" si="86"/>
        <v>0</v>
      </c>
      <c r="J137" s="108">
        <f t="shared" si="86"/>
        <v>0</v>
      </c>
      <c r="K137" s="108">
        <f t="shared" si="86"/>
        <v>0</v>
      </c>
      <c r="L137" s="108">
        <f t="shared" si="86"/>
        <v>0</v>
      </c>
      <c r="M137" s="108">
        <f t="shared" si="86"/>
        <v>0</v>
      </c>
      <c r="N137" s="108">
        <f t="shared" si="80"/>
        <v>0</v>
      </c>
    </row>
    <row r="138" spans="1:14" ht="15.75" customHeight="1" x14ac:dyDescent="0.2">
      <c r="A138" s="67" t="s">
        <v>9</v>
      </c>
      <c r="B138" s="108">
        <f t="shared" ref="B138:M138" si="87">((B58*1.2)/12)*$B$127</f>
        <v>17.408299999999997</v>
      </c>
      <c r="C138" s="108">
        <f t="shared" si="87"/>
        <v>17.408299999999997</v>
      </c>
      <c r="D138" s="108">
        <f t="shared" si="87"/>
        <v>17.408299999999997</v>
      </c>
      <c r="E138" s="108">
        <f t="shared" si="87"/>
        <v>17.408299999999997</v>
      </c>
      <c r="F138" s="108">
        <f t="shared" si="87"/>
        <v>17.408299999999997</v>
      </c>
      <c r="G138" s="108">
        <f t="shared" si="87"/>
        <v>17.408299999999997</v>
      </c>
      <c r="H138" s="108">
        <f t="shared" si="87"/>
        <v>17.408299999999997</v>
      </c>
      <c r="I138" s="108">
        <f t="shared" si="87"/>
        <v>17.408299999999997</v>
      </c>
      <c r="J138" s="108">
        <f t="shared" si="87"/>
        <v>17.408299999999997</v>
      </c>
      <c r="K138" s="108">
        <f t="shared" si="87"/>
        <v>17.408299999999997</v>
      </c>
      <c r="L138" s="108">
        <f t="shared" si="87"/>
        <v>17.408299999999997</v>
      </c>
      <c r="M138" s="108">
        <f t="shared" si="87"/>
        <v>17.408299999999997</v>
      </c>
      <c r="N138" s="108">
        <f t="shared" si="80"/>
        <v>208.89959999999996</v>
      </c>
    </row>
    <row r="139" spans="1:14" ht="15.75" customHeight="1" x14ac:dyDescent="0.2">
      <c r="A139" s="67" t="s">
        <v>10</v>
      </c>
      <c r="B139" s="108">
        <f t="shared" ref="B139:M140" si="88">((B59*1.2)/12)*$B$127</f>
        <v>17.408299999999997</v>
      </c>
      <c r="C139" s="108">
        <f t="shared" si="88"/>
        <v>17.408299999999997</v>
      </c>
      <c r="D139" s="108">
        <f t="shared" si="88"/>
        <v>17.408299999999997</v>
      </c>
      <c r="E139" s="108">
        <f t="shared" si="88"/>
        <v>17.408299999999997</v>
      </c>
      <c r="F139" s="108">
        <f t="shared" si="88"/>
        <v>17.408299999999997</v>
      </c>
      <c r="G139" s="108">
        <f t="shared" si="88"/>
        <v>17.408299999999997</v>
      </c>
      <c r="H139" s="108">
        <f t="shared" si="88"/>
        <v>17.408299999999997</v>
      </c>
      <c r="I139" s="108">
        <f t="shared" si="88"/>
        <v>17.408299999999997</v>
      </c>
      <c r="J139" s="108">
        <f t="shared" si="88"/>
        <v>17.408299999999997</v>
      </c>
      <c r="K139" s="108">
        <f t="shared" si="88"/>
        <v>17.408299999999997</v>
      </c>
      <c r="L139" s="108">
        <f t="shared" si="88"/>
        <v>17.408299999999997</v>
      </c>
      <c r="M139" s="108">
        <f t="shared" si="88"/>
        <v>17.408299999999997</v>
      </c>
      <c r="N139" s="108">
        <f t="shared" si="80"/>
        <v>208.89959999999996</v>
      </c>
    </row>
    <row r="140" spans="1:14" ht="15.75" customHeight="1" x14ac:dyDescent="0.2">
      <c r="A140" s="67" t="s">
        <v>73</v>
      </c>
      <c r="B140" s="108">
        <f>((B60*1.2)/12)*$B$127</f>
        <v>0</v>
      </c>
      <c r="C140" s="108">
        <f t="shared" si="88"/>
        <v>0</v>
      </c>
      <c r="D140" s="108">
        <f t="shared" si="88"/>
        <v>0</v>
      </c>
      <c r="E140" s="108">
        <f t="shared" si="88"/>
        <v>0</v>
      </c>
      <c r="F140" s="108">
        <f t="shared" si="88"/>
        <v>0</v>
      </c>
      <c r="G140" s="108">
        <f t="shared" si="88"/>
        <v>0</v>
      </c>
      <c r="H140" s="108">
        <f t="shared" si="88"/>
        <v>0</v>
      </c>
      <c r="I140" s="108">
        <f t="shared" si="88"/>
        <v>0</v>
      </c>
      <c r="J140" s="108">
        <f t="shared" si="88"/>
        <v>0</v>
      </c>
      <c r="K140" s="108">
        <f t="shared" si="88"/>
        <v>0</v>
      </c>
      <c r="L140" s="108">
        <f t="shared" si="88"/>
        <v>0</v>
      </c>
      <c r="M140" s="108">
        <f t="shared" si="88"/>
        <v>0</v>
      </c>
      <c r="N140" s="108">
        <f t="shared" si="80"/>
        <v>0</v>
      </c>
    </row>
    <row r="141" spans="1:14" ht="15.75" customHeight="1" x14ac:dyDescent="0.2">
      <c r="A141" s="67" t="s">
        <v>72</v>
      </c>
      <c r="B141" s="108">
        <f t="shared" ref="B141:M141" si="89">((B61*1.2)/12)*$B$127</f>
        <v>0</v>
      </c>
      <c r="C141" s="108">
        <f t="shared" si="89"/>
        <v>0</v>
      </c>
      <c r="D141" s="108">
        <f t="shared" si="89"/>
        <v>0</v>
      </c>
      <c r="E141" s="108">
        <f t="shared" si="89"/>
        <v>0</v>
      </c>
      <c r="F141" s="108">
        <f t="shared" si="89"/>
        <v>0</v>
      </c>
      <c r="G141" s="108">
        <f t="shared" si="89"/>
        <v>0</v>
      </c>
      <c r="H141" s="108">
        <f t="shared" si="89"/>
        <v>0</v>
      </c>
      <c r="I141" s="108">
        <f t="shared" si="89"/>
        <v>0</v>
      </c>
      <c r="J141" s="108">
        <f t="shared" si="89"/>
        <v>0</v>
      </c>
      <c r="K141" s="108">
        <f t="shared" si="89"/>
        <v>0</v>
      </c>
      <c r="L141" s="108">
        <f t="shared" si="89"/>
        <v>0</v>
      </c>
      <c r="M141" s="108">
        <f t="shared" si="89"/>
        <v>0</v>
      </c>
      <c r="N141" s="108">
        <f t="shared" si="80"/>
        <v>0</v>
      </c>
    </row>
    <row r="142" spans="1:14" ht="15.75" customHeight="1" x14ac:dyDescent="0.2">
      <c r="A142" s="67" t="s">
        <v>74</v>
      </c>
      <c r="B142" s="108">
        <f t="shared" ref="B142:M142" si="90">((B62*1.2)/12)*$B$127</f>
        <v>0</v>
      </c>
      <c r="C142" s="108">
        <f t="shared" si="90"/>
        <v>0</v>
      </c>
      <c r="D142" s="108">
        <f t="shared" si="90"/>
        <v>0</v>
      </c>
      <c r="E142" s="108">
        <f t="shared" si="90"/>
        <v>0</v>
      </c>
      <c r="F142" s="108">
        <f t="shared" si="90"/>
        <v>0</v>
      </c>
      <c r="G142" s="108">
        <f t="shared" si="90"/>
        <v>0</v>
      </c>
      <c r="H142" s="108">
        <f t="shared" si="90"/>
        <v>0</v>
      </c>
      <c r="I142" s="108">
        <f t="shared" si="90"/>
        <v>0</v>
      </c>
      <c r="J142" s="108">
        <f t="shared" si="90"/>
        <v>0</v>
      </c>
      <c r="K142" s="108">
        <f t="shared" si="90"/>
        <v>0</v>
      </c>
      <c r="L142" s="108">
        <f t="shared" si="90"/>
        <v>0</v>
      </c>
      <c r="M142" s="108">
        <f t="shared" si="90"/>
        <v>0</v>
      </c>
      <c r="N142" s="108">
        <f t="shared" si="80"/>
        <v>0</v>
      </c>
    </row>
    <row r="143" spans="1:14" ht="15.75" customHeight="1" x14ac:dyDescent="0.2">
      <c r="A143" s="67" t="s">
        <v>11</v>
      </c>
      <c r="B143" s="109">
        <f t="shared" ref="B143:M143" si="91">((B63*1.2)/12)*$B$127</f>
        <v>121.85809999999998</v>
      </c>
      <c r="C143" s="109">
        <f t="shared" si="91"/>
        <v>121.85809999999998</v>
      </c>
      <c r="D143" s="109">
        <f t="shared" si="91"/>
        <v>121.85809999999998</v>
      </c>
      <c r="E143" s="109">
        <f t="shared" si="91"/>
        <v>121.85809999999998</v>
      </c>
      <c r="F143" s="109">
        <f t="shared" si="91"/>
        <v>121.85809999999998</v>
      </c>
      <c r="G143" s="109">
        <f t="shared" si="91"/>
        <v>121.85809999999998</v>
      </c>
      <c r="H143" s="109">
        <f t="shared" si="91"/>
        <v>121.85809999999998</v>
      </c>
      <c r="I143" s="109">
        <f t="shared" si="91"/>
        <v>121.85809999999998</v>
      </c>
      <c r="J143" s="109">
        <f t="shared" si="91"/>
        <v>121.85809999999998</v>
      </c>
      <c r="K143" s="109">
        <f t="shared" si="91"/>
        <v>121.85809999999998</v>
      </c>
      <c r="L143" s="109">
        <f t="shared" si="91"/>
        <v>121.85809999999998</v>
      </c>
      <c r="M143" s="109">
        <f t="shared" si="91"/>
        <v>121.85809999999998</v>
      </c>
      <c r="N143" s="109">
        <f t="shared" si="80"/>
        <v>1462.2971999999993</v>
      </c>
    </row>
    <row r="144" spans="1:14" ht="15.75" customHeight="1" x14ac:dyDescent="0.2">
      <c r="A144" s="66" t="s">
        <v>109</v>
      </c>
      <c r="B144" s="75">
        <f>SUM(B128:B143)</f>
        <v>313.34939999999995</v>
      </c>
      <c r="C144" s="75">
        <f t="shared" ref="C144:N144" si="92">SUM(C128:C143)</f>
        <v>313.34939999999995</v>
      </c>
      <c r="D144" s="75">
        <f t="shared" si="92"/>
        <v>313.34939999999995</v>
      </c>
      <c r="E144" s="75">
        <f t="shared" si="92"/>
        <v>313.34939999999995</v>
      </c>
      <c r="F144" s="75">
        <f t="shared" si="92"/>
        <v>313.34939999999995</v>
      </c>
      <c r="G144" s="75">
        <f t="shared" si="92"/>
        <v>313.34939999999995</v>
      </c>
      <c r="H144" s="75">
        <f t="shared" si="92"/>
        <v>313.34939999999995</v>
      </c>
      <c r="I144" s="75">
        <f t="shared" si="92"/>
        <v>313.34939999999995</v>
      </c>
      <c r="J144" s="75">
        <f t="shared" si="92"/>
        <v>313.34939999999995</v>
      </c>
      <c r="K144" s="75">
        <f t="shared" si="92"/>
        <v>313.34939999999995</v>
      </c>
      <c r="L144" s="75">
        <f t="shared" si="92"/>
        <v>313.34939999999995</v>
      </c>
      <c r="M144" s="75">
        <f t="shared" si="92"/>
        <v>313.34939999999995</v>
      </c>
      <c r="N144" s="75">
        <f t="shared" si="92"/>
        <v>3760.1927999999989</v>
      </c>
    </row>
    <row r="145" spans="1:14" ht="15.75" customHeight="1" x14ac:dyDescent="0.2">
      <c r="B145" s="40"/>
      <c r="D145" s="38"/>
    </row>
    <row r="146" spans="1:14" ht="15.75" customHeight="1" x14ac:dyDescent="0.2">
      <c r="A146" s="68" t="s">
        <v>120</v>
      </c>
      <c r="B146" s="40"/>
      <c r="D146" s="38"/>
    </row>
    <row r="147" spans="1:14" ht="15.75" customHeight="1" x14ac:dyDescent="0.2">
      <c r="A147" s="67" t="s">
        <v>3</v>
      </c>
      <c r="B147" s="93">
        <f>Energy!B74</f>
        <v>0</v>
      </c>
      <c r="C147" s="93">
        <f>Energy!C74</f>
        <v>0</v>
      </c>
      <c r="D147" s="93">
        <f>Energy!D74</f>
        <v>0</v>
      </c>
      <c r="E147" s="93">
        <f>Energy!E74</f>
        <v>87000</v>
      </c>
      <c r="F147" s="93">
        <f>Energy!F74</f>
        <v>151000</v>
      </c>
      <c r="G147" s="93">
        <f>Energy!G74</f>
        <v>82000</v>
      </c>
      <c r="H147" s="93">
        <f>Energy!H74</f>
        <v>12500</v>
      </c>
      <c r="I147" s="93">
        <f>Energy!I74</f>
        <v>66000</v>
      </c>
      <c r="J147" s="93">
        <f>Energy!J74</f>
        <v>24000</v>
      </c>
      <c r="K147" s="93">
        <f>Energy!K74</f>
        <v>0</v>
      </c>
      <c r="L147" s="93">
        <f>Energy!L74</f>
        <v>0</v>
      </c>
      <c r="M147" s="93">
        <f>Energy!M74</f>
        <v>0</v>
      </c>
      <c r="N147" s="72">
        <f>SUM(B147:M147)</f>
        <v>422500</v>
      </c>
    </row>
    <row r="148" spans="1:14" ht="15.75" customHeight="1" x14ac:dyDescent="0.2">
      <c r="A148" s="67" t="s">
        <v>63</v>
      </c>
      <c r="B148" s="93">
        <f>ROUND(Energy!B78,-3)</f>
        <v>1000</v>
      </c>
      <c r="C148" s="93">
        <f>ROUND(Energy!C78,-3)</f>
        <v>6000</v>
      </c>
      <c r="D148" s="93">
        <f>ROUND(Energy!D78,-3)</f>
        <v>8000</v>
      </c>
      <c r="E148" s="93">
        <f>ROUND(Energy!E78,-3)</f>
        <v>31000</v>
      </c>
      <c r="F148" s="93">
        <f>ROUND(Energy!F78,-3)</f>
        <v>32000</v>
      </c>
      <c r="G148" s="93">
        <f>ROUND(Energy!G78,-3)</f>
        <v>28000</v>
      </c>
      <c r="H148" s="93">
        <f>ROUND(Energy!H78,-3)</f>
        <v>4000</v>
      </c>
      <c r="I148" s="93">
        <f>ROUND(Energy!I78,-3)</f>
        <v>21000</v>
      </c>
      <c r="J148" s="93">
        <f>ROUND(Energy!J78,-3)</f>
        <v>9000</v>
      </c>
      <c r="K148" s="93">
        <f>ROUND(Energy!K78,-3)</f>
        <v>0</v>
      </c>
      <c r="L148" s="93">
        <f>ROUND(Energy!L78,-3)</f>
        <v>0</v>
      </c>
      <c r="M148" s="93">
        <f>ROUND(Energy!M78,-3)</f>
        <v>0</v>
      </c>
      <c r="N148" s="72">
        <f>SUM(B148:M148)</f>
        <v>140000</v>
      </c>
    </row>
    <row r="149" spans="1:14" ht="15.75" customHeight="1" x14ac:dyDescent="0.2">
      <c r="A149" s="67" t="s">
        <v>4</v>
      </c>
      <c r="B149" s="94">
        <f>Energy!B82</f>
        <v>15500</v>
      </c>
      <c r="C149" s="94">
        <f>Energy!C82</f>
        <v>93000</v>
      </c>
      <c r="D149" s="94">
        <f>Energy!D82</f>
        <v>115000</v>
      </c>
      <c r="E149" s="94">
        <f>Energy!E82</f>
        <v>290000</v>
      </c>
      <c r="F149" s="94">
        <f>Energy!F82</f>
        <v>183000</v>
      </c>
      <c r="G149" s="94">
        <f>Energy!G82</f>
        <v>193500</v>
      </c>
      <c r="H149" s="94">
        <f>Energy!H82</f>
        <v>30000</v>
      </c>
      <c r="I149" s="94">
        <f>Energy!I82</f>
        <v>160500</v>
      </c>
      <c r="J149" s="94">
        <f>Energy!J82</f>
        <v>55500</v>
      </c>
      <c r="K149" s="93">
        <f>Energy!K82</f>
        <v>0</v>
      </c>
      <c r="L149" s="94">
        <f>Energy!L82</f>
        <v>0</v>
      </c>
      <c r="M149" s="94">
        <f>Energy!M82</f>
        <v>0</v>
      </c>
      <c r="N149" s="72">
        <f t="shared" ref="N149:N162" si="93">SUM(B149:M149)</f>
        <v>1136000</v>
      </c>
    </row>
    <row r="150" spans="1:14" ht="15.75" customHeight="1" x14ac:dyDescent="0.2">
      <c r="A150" s="67" t="s">
        <v>5</v>
      </c>
      <c r="B150" s="94">
        <f>Energy!B86</f>
        <v>6000</v>
      </c>
      <c r="C150" s="94">
        <f>Energy!C86</f>
        <v>41625</v>
      </c>
      <c r="D150" s="94">
        <f>Energy!D86</f>
        <v>27875</v>
      </c>
      <c r="E150" s="94">
        <f>Energy!E86</f>
        <v>87700</v>
      </c>
      <c r="F150" s="94">
        <f>Energy!F86</f>
        <v>63500</v>
      </c>
      <c r="G150" s="94">
        <f>Energy!G86</f>
        <v>55800</v>
      </c>
      <c r="H150" s="94">
        <f>Energy!H86</f>
        <v>7500</v>
      </c>
      <c r="I150" s="94">
        <f>Energy!I86</f>
        <v>42100</v>
      </c>
      <c r="J150" s="94">
        <f>Energy!J86</f>
        <v>17700</v>
      </c>
      <c r="K150" s="93">
        <f>Energy!K86</f>
        <v>0</v>
      </c>
      <c r="L150" s="94">
        <f>Energy!L86</f>
        <v>0</v>
      </c>
      <c r="M150" s="94">
        <f>Energy!M86</f>
        <v>0</v>
      </c>
      <c r="N150" s="72">
        <f t="shared" si="93"/>
        <v>349800</v>
      </c>
    </row>
    <row r="151" spans="1:14" ht="15.75" customHeight="1" x14ac:dyDescent="0.2">
      <c r="A151" s="67" t="s">
        <v>66</v>
      </c>
      <c r="B151" s="94">
        <f>Energy!B90</f>
        <v>0</v>
      </c>
      <c r="C151" s="94">
        <f>Energy!C90</f>
        <v>0</v>
      </c>
      <c r="D151" s="94">
        <f>Energy!D90</f>
        <v>0</v>
      </c>
      <c r="E151" s="94">
        <f>Energy!E90</f>
        <v>56550</v>
      </c>
      <c r="F151" s="94">
        <f>Energy!F90</f>
        <v>95250</v>
      </c>
      <c r="G151" s="94">
        <f>Energy!G90</f>
        <v>83700</v>
      </c>
      <c r="H151" s="94">
        <f>Energy!H90</f>
        <v>11250</v>
      </c>
      <c r="I151" s="94">
        <f>Energy!I90</f>
        <v>63150</v>
      </c>
      <c r="J151" s="94">
        <f>Energy!J90</f>
        <v>26550</v>
      </c>
      <c r="K151" s="94">
        <f>Energy!K90</f>
        <v>0</v>
      </c>
      <c r="L151" s="94">
        <f>Energy!L90</f>
        <v>0</v>
      </c>
      <c r="M151" s="94">
        <f>Energy!M90</f>
        <v>0</v>
      </c>
      <c r="N151" s="72">
        <f t="shared" si="93"/>
        <v>336450</v>
      </c>
    </row>
    <row r="152" spans="1:14" ht="15.75" customHeight="1" x14ac:dyDescent="0.2">
      <c r="A152" s="67" t="s">
        <v>67</v>
      </c>
      <c r="B152" s="94">
        <f>Energy!B94</f>
        <v>0</v>
      </c>
      <c r="C152" s="94">
        <f>Energy!C94</f>
        <v>0</v>
      </c>
      <c r="D152" s="94">
        <f>Energy!D94</f>
        <v>0</v>
      </c>
      <c r="E152" s="94">
        <f>Energy!E94</f>
        <v>37700</v>
      </c>
      <c r="F152" s="94">
        <f>Energy!F94</f>
        <v>63500</v>
      </c>
      <c r="G152" s="94">
        <f>Energy!G94</f>
        <v>55800</v>
      </c>
      <c r="H152" s="94">
        <f>Energy!H94</f>
        <v>7500</v>
      </c>
      <c r="I152" s="94">
        <f>Energy!I94</f>
        <v>42100</v>
      </c>
      <c r="J152" s="94">
        <f>Energy!J94</f>
        <v>17700</v>
      </c>
      <c r="K152" s="94">
        <f>Energy!K94</f>
        <v>0</v>
      </c>
      <c r="L152" s="94">
        <f>Energy!L94</f>
        <v>0</v>
      </c>
      <c r="M152" s="94">
        <f>Energy!M94</f>
        <v>0</v>
      </c>
      <c r="N152" s="72">
        <f t="shared" si="93"/>
        <v>224300</v>
      </c>
    </row>
    <row r="153" spans="1:14" ht="15.75" customHeight="1" x14ac:dyDescent="0.2">
      <c r="A153" s="67" t="s">
        <v>6</v>
      </c>
      <c r="B153" s="94">
        <f>Energy!B98</f>
        <v>15500</v>
      </c>
      <c r="C153" s="94">
        <f>Energy!C98</f>
        <v>93000</v>
      </c>
      <c r="D153" s="94">
        <f>Energy!D98</f>
        <v>115000</v>
      </c>
      <c r="E153" s="94">
        <f>Energy!E98</f>
        <v>290000</v>
      </c>
      <c r="F153" s="94">
        <f>Energy!F98</f>
        <v>182000</v>
      </c>
      <c r="G153" s="94">
        <f>Energy!G98</f>
        <v>193500</v>
      </c>
      <c r="H153" s="94">
        <f>Energy!H98</f>
        <v>30000</v>
      </c>
      <c r="I153" s="94">
        <f>Energy!I98</f>
        <v>160500</v>
      </c>
      <c r="J153" s="94">
        <f>Energy!J98</f>
        <v>55500</v>
      </c>
      <c r="K153" s="93">
        <f>Energy!K98</f>
        <v>0</v>
      </c>
      <c r="L153" s="94">
        <f>Energy!L98</f>
        <v>0</v>
      </c>
      <c r="M153" s="94">
        <f>Energy!M98</f>
        <v>0</v>
      </c>
      <c r="N153" s="72">
        <f t="shared" si="93"/>
        <v>1135000</v>
      </c>
    </row>
    <row r="154" spans="1:14" ht="15.75" customHeight="1" x14ac:dyDescent="0.2">
      <c r="A154" s="67" t="s">
        <v>7</v>
      </c>
      <c r="B154" s="94">
        <f>Energy!B102</f>
        <v>6000</v>
      </c>
      <c r="C154" s="94">
        <f>Energy!C102</f>
        <v>37500</v>
      </c>
      <c r="D154" s="94">
        <f>Energy!D102</f>
        <v>59000</v>
      </c>
      <c r="E154" s="94">
        <f>Energy!E102</f>
        <v>115500</v>
      </c>
      <c r="F154" s="94">
        <f>Energy!F102</f>
        <v>75500</v>
      </c>
      <c r="G154" s="94">
        <f>Energy!G102</f>
        <v>82000</v>
      </c>
      <c r="H154" s="94">
        <f>Energy!H102</f>
        <v>12500</v>
      </c>
      <c r="I154" s="94">
        <f>Energy!I102</f>
        <v>66000</v>
      </c>
      <c r="J154" s="94">
        <f>Energy!J102</f>
        <v>24000</v>
      </c>
      <c r="K154" s="93">
        <f>Energy!K102</f>
        <v>0</v>
      </c>
      <c r="L154" s="94">
        <f>Energy!L102</f>
        <v>0</v>
      </c>
      <c r="M154" s="94">
        <f>Energy!M102</f>
        <v>0</v>
      </c>
      <c r="N154" s="72">
        <f t="shared" si="93"/>
        <v>478000</v>
      </c>
    </row>
    <row r="155" spans="1:14" ht="15.75" customHeight="1" x14ac:dyDescent="0.2">
      <c r="A155" s="67" t="s">
        <v>8</v>
      </c>
      <c r="B155" s="94">
        <f>Energy!B106</f>
        <v>6000</v>
      </c>
      <c r="C155" s="94">
        <f>Energy!C106</f>
        <v>37500</v>
      </c>
      <c r="D155" s="94">
        <f>Energy!D106</f>
        <v>45000</v>
      </c>
      <c r="E155" s="94">
        <f>Energy!E106</f>
        <v>115500</v>
      </c>
      <c r="F155" s="94">
        <f>Energy!F106</f>
        <v>75500</v>
      </c>
      <c r="G155" s="94">
        <f>Energy!G106</f>
        <v>82000</v>
      </c>
      <c r="H155" s="94">
        <f>Energy!H106</f>
        <v>12500</v>
      </c>
      <c r="I155" s="94">
        <f>Energy!I106</f>
        <v>66000</v>
      </c>
      <c r="J155" s="94">
        <f>Energy!J106</f>
        <v>24000</v>
      </c>
      <c r="K155" s="93">
        <f>Energy!K106</f>
        <v>0</v>
      </c>
      <c r="L155" s="94">
        <f>Energy!L106</f>
        <v>0</v>
      </c>
      <c r="M155" s="94">
        <f>Energy!M106</f>
        <v>0</v>
      </c>
      <c r="N155" s="72">
        <f t="shared" si="93"/>
        <v>464000</v>
      </c>
    </row>
    <row r="156" spans="1:14" ht="15.75" customHeight="1" x14ac:dyDescent="0.2">
      <c r="A156" s="67" t="s">
        <v>71</v>
      </c>
      <c r="B156" s="94">
        <f>Energy!B110</f>
        <v>3000</v>
      </c>
      <c r="C156" s="94">
        <f>Energy!C110</f>
        <v>20812.5</v>
      </c>
      <c r="D156" s="94">
        <f>Energy!D110</f>
        <v>13937.5</v>
      </c>
      <c r="E156" s="94">
        <f>Energy!E110</f>
        <v>43850</v>
      </c>
      <c r="F156" s="94">
        <f>Energy!F110</f>
        <v>31750</v>
      </c>
      <c r="G156" s="94">
        <f>Energy!G110</f>
        <v>27900</v>
      </c>
      <c r="H156" s="94">
        <f>Energy!H110</f>
        <v>3750</v>
      </c>
      <c r="I156" s="94">
        <f>Energy!I110</f>
        <v>21050</v>
      </c>
      <c r="J156" s="94">
        <f>Energy!J110</f>
        <v>8850</v>
      </c>
      <c r="K156" s="94">
        <f>Energy!K110</f>
        <v>0</v>
      </c>
      <c r="L156" s="94">
        <f>Energy!L110</f>
        <v>0</v>
      </c>
      <c r="M156" s="94">
        <f>Energy!M110</f>
        <v>0</v>
      </c>
      <c r="N156" s="72">
        <f t="shared" si="93"/>
        <v>174900</v>
      </c>
    </row>
    <row r="157" spans="1:14" ht="15.75" customHeight="1" x14ac:dyDescent="0.2">
      <c r="A157" s="67" t="s">
        <v>9</v>
      </c>
      <c r="B157" s="94">
        <f>Energy!B114</f>
        <v>6000</v>
      </c>
      <c r="C157" s="94">
        <f>Energy!C114</f>
        <v>41625</v>
      </c>
      <c r="D157" s="94">
        <f>Energy!D114</f>
        <v>27875</v>
      </c>
      <c r="E157" s="94">
        <f>Energy!E114</f>
        <v>87700</v>
      </c>
      <c r="F157" s="94">
        <f>Energy!F114</f>
        <v>63500</v>
      </c>
      <c r="G157" s="94">
        <f>Energy!G114</f>
        <v>55800</v>
      </c>
      <c r="H157" s="94">
        <f>Energy!H114</f>
        <v>7500</v>
      </c>
      <c r="I157" s="94">
        <f>Energy!I114</f>
        <v>42100</v>
      </c>
      <c r="J157" s="94">
        <f>Energy!J114</f>
        <v>17700</v>
      </c>
      <c r="K157" s="93">
        <f>Energy!K114</f>
        <v>0</v>
      </c>
      <c r="L157" s="94">
        <f>Energy!L114</f>
        <v>0</v>
      </c>
      <c r="M157" s="94">
        <f>Energy!M114</f>
        <v>0</v>
      </c>
      <c r="N157" s="72">
        <f t="shared" si="93"/>
        <v>349800</v>
      </c>
    </row>
    <row r="158" spans="1:14" ht="15.75" customHeight="1" x14ac:dyDescent="0.2">
      <c r="A158" s="67" t="s">
        <v>10</v>
      </c>
      <c r="B158" s="94">
        <f>Energy!B118</f>
        <v>12000</v>
      </c>
      <c r="C158" s="94">
        <f>Energy!C118</f>
        <v>83250</v>
      </c>
      <c r="D158" s="94">
        <f>Energy!D118</f>
        <v>55750</v>
      </c>
      <c r="E158" s="94">
        <f>Energy!E118</f>
        <v>194250</v>
      </c>
      <c r="F158" s="94">
        <f>Energy!F118</f>
        <v>158750</v>
      </c>
      <c r="G158" s="94">
        <f>Energy!G118</f>
        <v>139500</v>
      </c>
      <c r="H158" s="94">
        <f>Energy!H118</f>
        <v>18750</v>
      </c>
      <c r="I158" s="94">
        <f>Energy!I118</f>
        <v>105250</v>
      </c>
      <c r="J158" s="94">
        <f>Energy!J118</f>
        <v>44250</v>
      </c>
      <c r="K158" s="93">
        <f>Energy!K118</f>
        <v>0</v>
      </c>
      <c r="L158" s="94">
        <f>Energy!L118</f>
        <v>0</v>
      </c>
      <c r="M158" s="94">
        <f>Energy!M118</f>
        <v>0</v>
      </c>
      <c r="N158" s="72">
        <f t="shared" si="93"/>
        <v>811750</v>
      </c>
    </row>
    <row r="159" spans="1:14" ht="15.75" customHeight="1" x14ac:dyDescent="0.2">
      <c r="A159" s="67" t="s">
        <v>73</v>
      </c>
      <c r="B159" s="94">
        <f>Energy!B122</f>
        <v>0</v>
      </c>
      <c r="C159" s="94">
        <f>Energy!C122</f>
        <v>0</v>
      </c>
      <c r="D159" s="94">
        <f>Energy!D122</f>
        <v>0</v>
      </c>
      <c r="E159" s="94">
        <f>Energy!E122</f>
        <v>18850</v>
      </c>
      <c r="F159" s="94">
        <f>Energy!F122</f>
        <v>31750</v>
      </c>
      <c r="G159" s="94">
        <f>Energy!G122</f>
        <v>27900</v>
      </c>
      <c r="H159" s="94">
        <f>Energy!H122</f>
        <v>3750</v>
      </c>
      <c r="I159" s="94">
        <f>Energy!I122</f>
        <v>21050</v>
      </c>
      <c r="J159" s="94">
        <f>Energy!J122</f>
        <v>8850</v>
      </c>
      <c r="K159" s="94">
        <f>Energy!K122</f>
        <v>0</v>
      </c>
      <c r="L159" s="94">
        <f>Energy!L122</f>
        <v>0</v>
      </c>
      <c r="M159" s="94">
        <f>Energy!M122</f>
        <v>0</v>
      </c>
      <c r="N159" s="72">
        <f t="shared" si="93"/>
        <v>112150</v>
      </c>
    </row>
    <row r="160" spans="1:14" ht="15.75" customHeight="1" x14ac:dyDescent="0.2">
      <c r="A160" s="67" t="s">
        <v>72</v>
      </c>
      <c r="B160" s="94">
        <f>Energy!B126</f>
        <v>0</v>
      </c>
      <c r="C160" s="94">
        <f>Energy!C126</f>
        <v>0</v>
      </c>
      <c r="D160" s="94">
        <f>Energy!D126</f>
        <v>0</v>
      </c>
      <c r="E160" s="94">
        <f>Energy!E126</f>
        <v>18850</v>
      </c>
      <c r="F160" s="94">
        <f>Energy!F126</f>
        <v>31750</v>
      </c>
      <c r="G160" s="94">
        <f>Energy!G126</f>
        <v>27900</v>
      </c>
      <c r="H160" s="94">
        <f>Energy!H126</f>
        <v>3750</v>
      </c>
      <c r="I160" s="94">
        <f>Energy!I126</f>
        <v>21050</v>
      </c>
      <c r="J160" s="94">
        <f>Energy!J126</f>
        <v>8850</v>
      </c>
      <c r="K160" s="94">
        <f>Energy!K126</f>
        <v>0</v>
      </c>
      <c r="L160" s="94">
        <f>Energy!L126</f>
        <v>0</v>
      </c>
      <c r="M160" s="94">
        <f>Energy!M126</f>
        <v>0</v>
      </c>
      <c r="N160" s="72">
        <f t="shared" si="93"/>
        <v>112150</v>
      </c>
    </row>
    <row r="161" spans="1:14" ht="15.75" customHeight="1" x14ac:dyDescent="0.2">
      <c r="A161" s="67" t="s">
        <v>74</v>
      </c>
      <c r="B161" s="94">
        <f>Energy!B130</f>
        <v>0</v>
      </c>
      <c r="C161" s="94">
        <f>Energy!C130</f>
        <v>0</v>
      </c>
      <c r="D161" s="94">
        <f>Energy!D130</f>
        <v>0</v>
      </c>
      <c r="E161" s="94">
        <f>Energy!E130</f>
        <v>56550</v>
      </c>
      <c r="F161" s="94">
        <f>Energy!F130</f>
        <v>95250</v>
      </c>
      <c r="G161" s="94">
        <f>Energy!G130</f>
        <v>83700</v>
      </c>
      <c r="H161" s="94">
        <f>Energy!H130</f>
        <v>11250</v>
      </c>
      <c r="I161" s="94">
        <f>Energy!I130</f>
        <v>63150</v>
      </c>
      <c r="J161" s="94">
        <f>Energy!J130</f>
        <v>26550</v>
      </c>
      <c r="K161" s="94">
        <f>Energy!K130</f>
        <v>0</v>
      </c>
      <c r="L161" s="94">
        <f>Energy!L130</f>
        <v>0</v>
      </c>
      <c r="M161" s="94">
        <f>Energy!M130</f>
        <v>0</v>
      </c>
      <c r="N161" s="72">
        <f t="shared" si="93"/>
        <v>336450</v>
      </c>
    </row>
    <row r="162" spans="1:14" ht="15.75" customHeight="1" x14ac:dyDescent="0.2">
      <c r="A162" s="67" t="s">
        <v>11</v>
      </c>
      <c r="B162" s="95">
        <f>Energy!B134</f>
        <v>26000</v>
      </c>
      <c r="C162" s="95">
        <f>Energy!C134</f>
        <v>156000</v>
      </c>
      <c r="D162" s="95">
        <f>Energy!D134</f>
        <v>183000</v>
      </c>
      <c r="E162" s="95">
        <f>Energy!E134</f>
        <v>480000</v>
      </c>
      <c r="F162" s="95">
        <f>Energy!F134</f>
        <v>279000</v>
      </c>
      <c r="G162" s="95">
        <f>Energy!G134</f>
        <v>294000</v>
      </c>
      <c r="H162" s="95">
        <f>Energy!H134</f>
        <v>45000</v>
      </c>
      <c r="I162" s="95">
        <f>Energy!I134</f>
        <v>233500</v>
      </c>
      <c r="J162" s="95">
        <f>Energy!J134</f>
        <v>84000</v>
      </c>
      <c r="K162" s="107">
        <f>Energy!K134</f>
        <v>0</v>
      </c>
      <c r="L162" s="95">
        <f>Energy!L134</f>
        <v>0</v>
      </c>
      <c r="M162" s="95">
        <f>Energy!M134</f>
        <v>0</v>
      </c>
      <c r="N162" s="73">
        <f t="shared" si="93"/>
        <v>1780500</v>
      </c>
    </row>
    <row r="163" spans="1:14" ht="15.75" customHeight="1" x14ac:dyDescent="0.2">
      <c r="A163" s="66" t="s">
        <v>109</v>
      </c>
      <c r="B163" s="72">
        <f>SUM(B147:B162)</f>
        <v>97000</v>
      </c>
      <c r="C163" s="72">
        <f t="shared" ref="C163:N163" si="94">SUM(C147:C162)</f>
        <v>610312.5</v>
      </c>
      <c r="D163" s="72">
        <f t="shared" si="94"/>
        <v>650437.5</v>
      </c>
      <c r="E163" s="72">
        <f t="shared" si="94"/>
        <v>2011000</v>
      </c>
      <c r="F163" s="72">
        <f t="shared" si="94"/>
        <v>1613000</v>
      </c>
      <c r="G163" s="72">
        <f t="shared" si="94"/>
        <v>1513000</v>
      </c>
      <c r="H163" s="72">
        <f t="shared" si="94"/>
        <v>221500</v>
      </c>
      <c r="I163" s="72">
        <f t="shared" si="94"/>
        <v>1194500</v>
      </c>
      <c r="J163" s="72">
        <f t="shared" si="94"/>
        <v>453000</v>
      </c>
      <c r="K163" s="72">
        <f t="shared" si="94"/>
        <v>0</v>
      </c>
      <c r="L163" s="72">
        <f t="shared" si="94"/>
        <v>0</v>
      </c>
      <c r="M163" s="72">
        <f t="shared" si="94"/>
        <v>0</v>
      </c>
      <c r="N163" s="72">
        <f t="shared" si="94"/>
        <v>8363750</v>
      </c>
    </row>
    <row r="164" spans="1:14" ht="15.75" customHeight="1" x14ac:dyDescent="0.2">
      <c r="B164" s="40"/>
      <c r="D164" s="38"/>
    </row>
    <row r="165" spans="1:14" ht="15.75" customHeight="1" x14ac:dyDescent="0.2">
      <c r="A165" s="66" t="s">
        <v>119</v>
      </c>
      <c r="B165" s="88">
        <v>9.5</v>
      </c>
      <c r="C165" s="88">
        <f>B165</f>
        <v>9.5</v>
      </c>
      <c r="D165" s="88">
        <f>C165</f>
        <v>9.5</v>
      </c>
      <c r="E165" s="88">
        <f t="shared" ref="E165:N165" si="95">D165</f>
        <v>9.5</v>
      </c>
      <c r="F165" s="88">
        <f t="shared" si="95"/>
        <v>9.5</v>
      </c>
      <c r="G165" s="88">
        <f t="shared" si="95"/>
        <v>9.5</v>
      </c>
      <c r="H165" s="88">
        <f t="shared" si="95"/>
        <v>9.5</v>
      </c>
      <c r="I165" s="88">
        <f t="shared" si="95"/>
        <v>9.5</v>
      </c>
      <c r="J165" s="88">
        <f t="shared" si="95"/>
        <v>9.5</v>
      </c>
      <c r="K165" s="88">
        <f t="shared" si="95"/>
        <v>9.5</v>
      </c>
      <c r="L165" s="88">
        <f t="shared" si="95"/>
        <v>9.5</v>
      </c>
      <c r="M165" s="88">
        <f t="shared" si="95"/>
        <v>9.5</v>
      </c>
      <c r="N165" s="40">
        <f t="shared" si="95"/>
        <v>9.5</v>
      </c>
    </row>
    <row r="166" spans="1:14" ht="15.75" customHeight="1" x14ac:dyDescent="0.2">
      <c r="B166" s="40"/>
      <c r="D166" s="38"/>
    </row>
    <row r="167" spans="1:14" ht="15.75" customHeight="1" x14ac:dyDescent="0.2">
      <c r="A167" s="68" t="s">
        <v>129</v>
      </c>
      <c r="B167" s="40"/>
      <c r="D167" s="38"/>
    </row>
    <row r="168" spans="1:14" ht="15.75" customHeight="1" x14ac:dyDescent="0.2">
      <c r="A168" s="67" t="s">
        <v>3</v>
      </c>
      <c r="B168" s="89">
        <f>(B147/1000)*B165</f>
        <v>0</v>
      </c>
      <c r="C168" s="89">
        <f t="shared" ref="C168:M168" si="96">(C147/1000)*C165</f>
        <v>0</v>
      </c>
      <c r="D168" s="89">
        <f t="shared" si="96"/>
        <v>0</v>
      </c>
      <c r="E168" s="89">
        <f t="shared" si="96"/>
        <v>826.5</v>
      </c>
      <c r="F168" s="89">
        <f t="shared" si="96"/>
        <v>1434.5</v>
      </c>
      <c r="G168" s="89">
        <f t="shared" si="96"/>
        <v>779</v>
      </c>
      <c r="H168" s="89">
        <f t="shared" si="96"/>
        <v>118.75</v>
      </c>
      <c r="I168" s="89">
        <f t="shared" si="96"/>
        <v>627</v>
      </c>
      <c r="J168" s="89">
        <f t="shared" si="96"/>
        <v>228</v>
      </c>
      <c r="K168" s="89">
        <f t="shared" si="96"/>
        <v>0</v>
      </c>
      <c r="L168" s="89">
        <f t="shared" si="96"/>
        <v>0</v>
      </c>
      <c r="M168" s="89">
        <f t="shared" si="96"/>
        <v>0</v>
      </c>
      <c r="N168" s="89">
        <f>SUM(B168:M168)</f>
        <v>4013.75</v>
      </c>
    </row>
    <row r="169" spans="1:14" ht="15.75" customHeight="1" x14ac:dyDescent="0.2">
      <c r="A169" s="67" t="s">
        <v>63</v>
      </c>
      <c r="B169" s="89">
        <f>(B148/1000)*B165</f>
        <v>9.5</v>
      </c>
      <c r="C169" s="89">
        <f t="shared" ref="C169:M169" si="97">(C148/1000)*C165</f>
        <v>57</v>
      </c>
      <c r="D169" s="89">
        <f t="shared" si="97"/>
        <v>76</v>
      </c>
      <c r="E169" s="89">
        <f t="shared" si="97"/>
        <v>294.5</v>
      </c>
      <c r="F169" s="89">
        <f t="shared" si="97"/>
        <v>304</v>
      </c>
      <c r="G169" s="89">
        <f t="shared" si="97"/>
        <v>266</v>
      </c>
      <c r="H169" s="89">
        <f t="shared" si="97"/>
        <v>38</v>
      </c>
      <c r="I169" s="89">
        <f t="shared" si="97"/>
        <v>199.5</v>
      </c>
      <c r="J169" s="89">
        <f t="shared" si="97"/>
        <v>85.5</v>
      </c>
      <c r="K169" s="89">
        <f t="shared" si="97"/>
        <v>0</v>
      </c>
      <c r="L169" s="89">
        <f t="shared" si="97"/>
        <v>0</v>
      </c>
      <c r="M169" s="89">
        <f t="shared" si="97"/>
        <v>0</v>
      </c>
      <c r="N169" s="89">
        <f>SUM(B169:M169)</f>
        <v>1330</v>
      </c>
    </row>
    <row r="170" spans="1:14" ht="15.75" customHeight="1" x14ac:dyDescent="0.2">
      <c r="A170" s="67" t="s">
        <v>4</v>
      </c>
      <c r="B170" s="89">
        <f>(B149/1000)*B165</f>
        <v>147.25</v>
      </c>
      <c r="C170" s="89">
        <f t="shared" ref="C170:M170" si="98">(C149/1000)*C165</f>
        <v>883.5</v>
      </c>
      <c r="D170" s="89">
        <f t="shared" si="98"/>
        <v>1092.5</v>
      </c>
      <c r="E170" s="89">
        <f t="shared" si="98"/>
        <v>2755</v>
      </c>
      <c r="F170" s="89">
        <f t="shared" si="98"/>
        <v>1738.5</v>
      </c>
      <c r="G170" s="89">
        <f t="shared" si="98"/>
        <v>1838.25</v>
      </c>
      <c r="H170" s="89">
        <f t="shared" si="98"/>
        <v>285</v>
      </c>
      <c r="I170" s="89">
        <f t="shared" si="98"/>
        <v>1524.75</v>
      </c>
      <c r="J170" s="89">
        <f t="shared" si="98"/>
        <v>527.25</v>
      </c>
      <c r="K170" s="89">
        <f t="shared" si="98"/>
        <v>0</v>
      </c>
      <c r="L170" s="89">
        <f t="shared" si="98"/>
        <v>0</v>
      </c>
      <c r="M170" s="89">
        <f t="shared" si="98"/>
        <v>0</v>
      </c>
      <c r="N170" s="90">
        <f t="shared" ref="N170:N183" si="99">SUM(B170:M170)</f>
        <v>10792</v>
      </c>
    </row>
    <row r="171" spans="1:14" ht="15.75" customHeight="1" x14ac:dyDescent="0.2">
      <c r="A171" s="67" t="s">
        <v>5</v>
      </c>
      <c r="B171" s="89">
        <f>(B150/1000)*B165</f>
        <v>57</v>
      </c>
      <c r="C171" s="89">
        <f t="shared" ref="C171:M171" si="100">(C150/1000)*C165</f>
        <v>395.4375</v>
      </c>
      <c r="D171" s="89">
        <f t="shared" si="100"/>
        <v>264.8125</v>
      </c>
      <c r="E171" s="89">
        <f t="shared" si="100"/>
        <v>833.15</v>
      </c>
      <c r="F171" s="89">
        <f t="shared" si="100"/>
        <v>603.25</v>
      </c>
      <c r="G171" s="89">
        <f t="shared" si="100"/>
        <v>530.1</v>
      </c>
      <c r="H171" s="89">
        <f t="shared" si="100"/>
        <v>71.25</v>
      </c>
      <c r="I171" s="89">
        <f t="shared" si="100"/>
        <v>399.95</v>
      </c>
      <c r="J171" s="89">
        <f t="shared" si="100"/>
        <v>168.15</v>
      </c>
      <c r="K171" s="89">
        <f t="shared" si="100"/>
        <v>0</v>
      </c>
      <c r="L171" s="89">
        <f t="shared" si="100"/>
        <v>0</v>
      </c>
      <c r="M171" s="89">
        <f t="shared" si="100"/>
        <v>0</v>
      </c>
      <c r="N171" s="90">
        <f t="shared" si="99"/>
        <v>3323.1</v>
      </c>
    </row>
    <row r="172" spans="1:14" ht="15.75" customHeight="1" x14ac:dyDescent="0.2">
      <c r="A172" s="67" t="s">
        <v>66</v>
      </c>
      <c r="B172" s="89">
        <f>(B151/1000)*B165</f>
        <v>0</v>
      </c>
      <c r="C172" s="89">
        <f t="shared" ref="C172:M172" si="101">(C151/1000)*C165</f>
        <v>0</v>
      </c>
      <c r="D172" s="89">
        <f t="shared" si="101"/>
        <v>0</v>
      </c>
      <c r="E172" s="89">
        <f t="shared" si="101"/>
        <v>537.22500000000002</v>
      </c>
      <c r="F172" s="89">
        <f t="shared" si="101"/>
        <v>904.875</v>
      </c>
      <c r="G172" s="89">
        <f t="shared" si="101"/>
        <v>795.15</v>
      </c>
      <c r="H172" s="89">
        <f t="shared" si="101"/>
        <v>106.875</v>
      </c>
      <c r="I172" s="89">
        <f t="shared" si="101"/>
        <v>599.92499999999995</v>
      </c>
      <c r="J172" s="89">
        <f t="shared" si="101"/>
        <v>252.22499999999999</v>
      </c>
      <c r="K172" s="89">
        <f t="shared" si="101"/>
        <v>0</v>
      </c>
      <c r="L172" s="89">
        <f t="shared" si="101"/>
        <v>0</v>
      </c>
      <c r="M172" s="89">
        <f t="shared" si="101"/>
        <v>0</v>
      </c>
      <c r="N172" s="90">
        <f t="shared" si="99"/>
        <v>3196.2750000000001</v>
      </c>
    </row>
    <row r="173" spans="1:14" ht="15.75" customHeight="1" x14ac:dyDescent="0.2">
      <c r="A173" s="67" t="s">
        <v>67</v>
      </c>
      <c r="B173" s="89">
        <f>(B152/1000)*B165</f>
        <v>0</v>
      </c>
      <c r="C173" s="89">
        <f t="shared" ref="C173:M173" si="102">(C152/1000)*C165</f>
        <v>0</v>
      </c>
      <c r="D173" s="89">
        <f t="shared" si="102"/>
        <v>0</v>
      </c>
      <c r="E173" s="89">
        <f t="shared" si="102"/>
        <v>358.15000000000003</v>
      </c>
      <c r="F173" s="89">
        <f t="shared" si="102"/>
        <v>603.25</v>
      </c>
      <c r="G173" s="89">
        <f t="shared" si="102"/>
        <v>530.1</v>
      </c>
      <c r="H173" s="89">
        <f t="shared" si="102"/>
        <v>71.25</v>
      </c>
      <c r="I173" s="89">
        <f t="shared" si="102"/>
        <v>399.95</v>
      </c>
      <c r="J173" s="89">
        <f t="shared" si="102"/>
        <v>168.15</v>
      </c>
      <c r="K173" s="89">
        <f t="shared" si="102"/>
        <v>0</v>
      </c>
      <c r="L173" s="89">
        <f t="shared" si="102"/>
        <v>0</v>
      </c>
      <c r="M173" s="89">
        <f t="shared" si="102"/>
        <v>0</v>
      </c>
      <c r="N173" s="90">
        <f t="shared" si="99"/>
        <v>2130.85</v>
      </c>
    </row>
    <row r="174" spans="1:14" ht="15.75" customHeight="1" x14ac:dyDescent="0.2">
      <c r="A174" s="67" t="s">
        <v>6</v>
      </c>
      <c r="B174" s="89">
        <f>(B153/1000)*B165</f>
        <v>147.25</v>
      </c>
      <c r="C174" s="89">
        <f t="shared" ref="C174:M174" si="103">(C153/1000)*C165</f>
        <v>883.5</v>
      </c>
      <c r="D174" s="89">
        <f t="shared" si="103"/>
        <v>1092.5</v>
      </c>
      <c r="E174" s="89">
        <f t="shared" si="103"/>
        <v>2755</v>
      </c>
      <c r="F174" s="89">
        <f t="shared" si="103"/>
        <v>1729</v>
      </c>
      <c r="G174" s="89">
        <f t="shared" si="103"/>
        <v>1838.25</v>
      </c>
      <c r="H174" s="89">
        <f t="shared" si="103"/>
        <v>285</v>
      </c>
      <c r="I174" s="89">
        <f t="shared" si="103"/>
        <v>1524.75</v>
      </c>
      <c r="J174" s="89">
        <f t="shared" si="103"/>
        <v>527.25</v>
      </c>
      <c r="K174" s="89">
        <f t="shared" si="103"/>
        <v>0</v>
      </c>
      <c r="L174" s="89">
        <f t="shared" si="103"/>
        <v>0</v>
      </c>
      <c r="M174" s="89">
        <f t="shared" si="103"/>
        <v>0</v>
      </c>
      <c r="N174" s="90">
        <f t="shared" si="99"/>
        <v>10782.5</v>
      </c>
    </row>
    <row r="175" spans="1:14" ht="15.75" customHeight="1" x14ac:dyDescent="0.2">
      <c r="A175" s="67" t="s">
        <v>7</v>
      </c>
      <c r="B175" s="89">
        <f>(B154/1000)*B165</f>
        <v>57</v>
      </c>
      <c r="C175" s="89">
        <f t="shared" ref="C175:M175" si="104">(C154/1000)*C165</f>
        <v>356.25</v>
      </c>
      <c r="D175" s="89">
        <f t="shared" si="104"/>
        <v>560.5</v>
      </c>
      <c r="E175" s="89">
        <f t="shared" si="104"/>
        <v>1097.25</v>
      </c>
      <c r="F175" s="89">
        <f t="shared" si="104"/>
        <v>717.25</v>
      </c>
      <c r="G175" s="89">
        <f t="shared" si="104"/>
        <v>779</v>
      </c>
      <c r="H175" s="89">
        <f t="shared" si="104"/>
        <v>118.75</v>
      </c>
      <c r="I175" s="89">
        <f t="shared" si="104"/>
        <v>627</v>
      </c>
      <c r="J175" s="89">
        <f t="shared" si="104"/>
        <v>228</v>
      </c>
      <c r="K175" s="89">
        <f t="shared" si="104"/>
        <v>0</v>
      </c>
      <c r="L175" s="89">
        <f t="shared" si="104"/>
        <v>0</v>
      </c>
      <c r="M175" s="89">
        <f t="shared" si="104"/>
        <v>0</v>
      </c>
      <c r="N175" s="90">
        <f t="shared" si="99"/>
        <v>4541</v>
      </c>
    </row>
    <row r="176" spans="1:14" ht="15.75" customHeight="1" x14ac:dyDescent="0.2">
      <c r="A176" s="67" t="s">
        <v>8</v>
      </c>
      <c r="B176" s="89">
        <f>(B155/1000)*B165</f>
        <v>57</v>
      </c>
      <c r="C176" s="89">
        <f t="shared" ref="C176:M176" si="105">(C155/1000)*C165</f>
        <v>356.25</v>
      </c>
      <c r="D176" s="89">
        <f t="shared" si="105"/>
        <v>427.5</v>
      </c>
      <c r="E176" s="89">
        <f t="shared" si="105"/>
        <v>1097.25</v>
      </c>
      <c r="F176" s="89">
        <f t="shared" si="105"/>
        <v>717.25</v>
      </c>
      <c r="G176" s="89">
        <f t="shared" si="105"/>
        <v>779</v>
      </c>
      <c r="H176" s="89">
        <f t="shared" si="105"/>
        <v>118.75</v>
      </c>
      <c r="I176" s="89">
        <f t="shared" si="105"/>
        <v>627</v>
      </c>
      <c r="J176" s="89">
        <f t="shared" si="105"/>
        <v>228</v>
      </c>
      <c r="K176" s="89">
        <f t="shared" si="105"/>
        <v>0</v>
      </c>
      <c r="L176" s="89">
        <f t="shared" si="105"/>
        <v>0</v>
      </c>
      <c r="M176" s="89">
        <f t="shared" si="105"/>
        <v>0</v>
      </c>
      <c r="N176" s="90">
        <f t="shared" si="99"/>
        <v>4408</v>
      </c>
    </row>
    <row r="177" spans="1:14" ht="15.75" customHeight="1" x14ac:dyDescent="0.2">
      <c r="A177" s="67" t="s">
        <v>71</v>
      </c>
      <c r="B177" s="89">
        <f>(B156/1000)*B165</f>
        <v>28.5</v>
      </c>
      <c r="C177" s="89">
        <f t="shared" ref="C177:M177" si="106">(C156/1000)*C165</f>
        <v>197.71875</v>
      </c>
      <c r="D177" s="89">
        <f t="shared" si="106"/>
        <v>132.40625</v>
      </c>
      <c r="E177" s="89">
        <f t="shared" si="106"/>
        <v>416.57499999999999</v>
      </c>
      <c r="F177" s="89">
        <f t="shared" si="106"/>
        <v>301.625</v>
      </c>
      <c r="G177" s="89">
        <f t="shared" si="106"/>
        <v>265.05</v>
      </c>
      <c r="H177" s="89">
        <f t="shared" si="106"/>
        <v>35.625</v>
      </c>
      <c r="I177" s="89">
        <f t="shared" si="106"/>
        <v>199.97499999999999</v>
      </c>
      <c r="J177" s="89">
        <f t="shared" si="106"/>
        <v>84.075000000000003</v>
      </c>
      <c r="K177" s="89">
        <f t="shared" si="106"/>
        <v>0</v>
      </c>
      <c r="L177" s="89">
        <f t="shared" si="106"/>
        <v>0</v>
      </c>
      <c r="M177" s="89">
        <f t="shared" si="106"/>
        <v>0</v>
      </c>
      <c r="N177" s="90">
        <f t="shared" si="99"/>
        <v>1661.55</v>
      </c>
    </row>
    <row r="178" spans="1:14" ht="15.75" customHeight="1" x14ac:dyDescent="0.2">
      <c r="A178" s="67" t="s">
        <v>9</v>
      </c>
      <c r="B178" s="89">
        <f>(B157/1000)*B165</f>
        <v>57</v>
      </c>
      <c r="C178" s="89">
        <f t="shared" ref="C178:M178" si="107">(C157/1000)*C165</f>
        <v>395.4375</v>
      </c>
      <c r="D178" s="89">
        <f t="shared" si="107"/>
        <v>264.8125</v>
      </c>
      <c r="E178" s="89">
        <f t="shared" si="107"/>
        <v>833.15</v>
      </c>
      <c r="F178" s="89">
        <f t="shared" si="107"/>
        <v>603.25</v>
      </c>
      <c r="G178" s="89">
        <f t="shared" si="107"/>
        <v>530.1</v>
      </c>
      <c r="H178" s="89">
        <f t="shared" si="107"/>
        <v>71.25</v>
      </c>
      <c r="I178" s="89">
        <f t="shared" si="107"/>
        <v>399.95</v>
      </c>
      <c r="J178" s="89">
        <f t="shared" si="107"/>
        <v>168.15</v>
      </c>
      <c r="K178" s="89">
        <f t="shared" si="107"/>
        <v>0</v>
      </c>
      <c r="L178" s="89">
        <f t="shared" si="107"/>
        <v>0</v>
      </c>
      <c r="M178" s="89">
        <f t="shared" si="107"/>
        <v>0</v>
      </c>
      <c r="N178" s="90">
        <f t="shared" si="99"/>
        <v>3323.1</v>
      </c>
    </row>
    <row r="179" spans="1:14" ht="15.75" customHeight="1" x14ac:dyDescent="0.2">
      <c r="A179" s="67" t="s">
        <v>10</v>
      </c>
      <c r="B179" s="89">
        <f>(B158/1000)*B165</f>
        <v>114</v>
      </c>
      <c r="C179" s="89">
        <f t="shared" ref="C179:M179" si="108">(C158/1000)*C165</f>
        <v>790.875</v>
      </c>
      <c r="D179" s="89">
        <f t="shared" si="108"/>
        <v>529.625</v>
      </c>
      <c r="E179" s="89">
        <f t="shared" si="108"/>
        <v>1845.375</v>
      </c>
      <c r="F179" s="89">
        <f t="shared" si="108"/>
        <v>1508.125</v>
      </c>
      <c r="G179" s="89">
        <f t="shared" si="108"/>
        <v>1325.25</v>
      </c>
      <c r="H179" s="89">
        <f t="shared" si="108"/>
        <v>178.125</v>
      </c>
      <c r="I179" s="89">
        <f t="shared" si="108"/>
        <v>999.875</v>
      </c>
      <c r="J179" s="89">
        <f t="shared" si="108"/>
        <v>420.375</v>
      </c>
      <c r="K179" s="89">
        <f t="shared" si="108"/>
        <v>0</v>
      </c>
      <c r="L179" s="89">
        <f t="shared" si="108"/>
        <v>0</v>
      </c>
      <c r="M179" s="89">
        <f t="shared" si="108"/>
        <v>0</v>
      </c>
      <c r="N179" s="90">
        <f t="shared" si="99"/>
        <v>7711.625</v>
      </c>
    </row>
    <row r="180" spans="1:14" ht="15.75" customHeight="1" x14ac:dyDescent="0.2">
      <c r="A180" s="67" t="s">
        <v>73</v>
      </c>
      <c r="B180" s="89">
        <f>(B159/1000)*B165</f>
        <v>0</v>
      </c>
      <c r="C180" s="89">
        <f t="shared" ref="C180:M180" si="109">(C159/1000)*C165</f>
        <v>0</v>
      </c>
      <c r="D180" s="89">
        <f t="shared" si="109"/>
        <v>0</v>
      </c>
      <c r="E180" s="89">
        <f t="shared" si="109"/>
        <v>179.07500000000002</v>
      </c>
      <c r="F180" s="89">
        <f t="shared" si="109"/>
        <v>301.625</v>
      </c>
      <c r="G180" s="89">
        <f t="shared" si="109"/>
        <v>265.05</v>
      </c>
      <c r="H180" s="89">
        <f t="shared" si="109"/>
        <v>35.625</v>
      </c>
      <c r="I180" s="89">
        <f t="shared" si="109"/>
        <v>199.97499999999999</v>
      </c>
      <c r="J180" s="89">
        <f t="shared" si="109"/>
        <v>84.075000000000003</v>
      </c>
      <c r="K180" s="89">
        <f t="shared" si="109"/>
        <v>0</v>
      </c>
      <c r="L180" s="89">
        <f t="shared" si="109"/>
        <v>0</v>
      </c>
      <c r="M180" s="89">
        <f t="shared" si="109"/>
        <v>0</v>
      </c>
      <c r="N180" s="90">
        <f t="shared" si="99"/>
        <v>1065.425</v>
      </c>
    </row>
    <row r="181" spans="1:14" ht="15.75" customHeight="1" x14ac:dyDescent="0.2">
      <c r="A181" s="67" t="s">
        <v>72</v>
      </c>
      <c r="B181" s="89">
        <f>(B160/1000)*B165</f>
        <v>0</v>
      </c>
      <c r="C181" s="89">
        <f t="shared" ref="C181:M181" si="110">(C160/1000)*C165</f>
        <v>0</v>
      </c>
      <c r="D181" s="89">
        <f t="shared" si="110"/>
        <v>0</v>
      </c>
      <c r="E181" s="89">
        <f t="shared" si="110"/>
        <v>179.07500000000002</v>
      </c>
      <c r="F181" s="89">
        <f t="shared" si="110"/>
        <v>301.625</v>
      </c>
      <c r="G181" s="89">
        <f t="shared" si="110"/>
        <v>265.05</v>
      </c>
      <c r="H181" s="89">
        <f t="shared" si="110"/>
        <v>35.625</v>
      </c>
      <c r="I181" s="89">
        <f t="shared" si="110"/>
        <v>199.97499999999999</v>
      </c>
      <c r="J181" s="89">
        <f t="shared" si="110"/>
        <v>84.075000000000003</v>
      </c>
      <c r="K181" s="89">
        <f t="shared" si="110"/>
        <v>0</v>
      </c>
      <c r="L181" s="89">
        <f t="shared" si="110"/>
        <v>0</v>
      </c>
      <c r="M181" s="89">
        <f t="shared" si="110"/>
        <v>0</v>
      </c>
      <c r="N181" s="90">
        <f t="shared" si="99"/>
        <v>1065.425</v>
      </c>
    </row>
    <row r="182" spans="1:14" ht="15.75" customHeight="1" x14ac:dyDescent="0.2">
      <c r="A182" s="67" t="s">
        <v>74</v>
      </c>
      <c r="B182" s="89">
        <f>(B161/1000)*B165</f>
        <v>0</v>
      </c>
      <c r="C182" s="89">
        <f t="shared" ref="C182:M182" si="111">(C161/1000)*C165</f>
        <v>0</v>
      </c>
      <c r="D182" s="89">
        <f t="shared" si="111"/>
        <v>0</v>
      </c>
      <c r="E182" s="89">
        <f t="shared" si="111"/>
        <v>537.22500000000002</v>
      </c>
      <c r="F182" s="89">
        <f t="shared" si="111"/>
        <v>904.875</v>
      </c>
      <c r="G182" s="89">
        <f t="shared" si="111"/>
        <v>795.15</v>
      </c>
      <c r="H182" s="89">
        <f t="shared" si="111"/>
        <v>106.875</v>
      </c>
      <c r="I182" s="89">
        <f t="shared" si="111"/>
        <v>599.92499999999995</v>
      </c>
      <c r="J182" s="89">
        <f t="shared" si="111"/>
        <v>252.22499999999999</v>
      </c>
      <c r="K182" s="89">
        <f t="shared" si="111"/>
        <v>0</v>
      </c>
      <c r="L182" s="89">
        <f t="shared" si="111"/>
        <v>0</v>
      </c>
      <c r="M182" s="89">
        <f t="shared" si="111"/>
        <v>0</v>
      </c>
      <c r="N182" s="90">
        <f t="shared" si="99"/>
        <v>3196.2750000000001</v>
      </c>
    </row>
    <row r="183" spans="1:14" ht="15.75" customHeight="1" x14ac:dyDescent="0.2">
      <c r="A183" s="67" t="s">
        <v>11</v>
      </c>
      <c r="B183" s="91">
        <f>(B162/1000)*B165</f>
        <v>247</v>
      </c>
      <c r="C183" s="91">
        <f t="shared" ref="C183:M183" si="112">(C162/1000)*C165</f>
        <v>1482</v>
      </c>
      <c r="D183" s="91">
        <f t="shared" si="112"/>
        <v>1738.5</v>
      </c>
      <c r="E183" s="91">
        <f t="shared" si="112"/>
        <v>4560</v>
      </c>
      <c r="F183" s="91">
        <f t="shared" si="112"/>
        <v>2650.5</v>
      </c>
      <c r="G183" s="91">
        <f t="shared" si="112"/>
        <v>2793</v>
      </c>
      <c r="H183" s="91">
        <f t="shared" si="112"/>
        <v>427.5</v>
      </c>
      <c r="I183" s="91">
        <f t="shared" si="112"/>
        <v>2218.25</v>
      </c>
      <c r="J183" s="91">
        <f t="shared" si="112"/>
        <v>798</v>
      </c>
      <c r="K183" s="91">
        <f t="shared" si="112"/>
        <v>0</v>
      </c>
      <c r="L183" s="91">
        <f t="shared" si="112"/>
        <v>0</v>
      </c>
      <c r="M183" s="91">
        <f t="shared" si="112"/>
        <v>0</v>
      </c>
      <c r="N183" s="92">
        <f t="shared" si="99"/>
        <v>16914.75</v>
      </c>
    </row>
    <row r="184" spans="1:14" ht="15.75" customHeight="1" x14ac:dyDescent="0.2">
      <c r="A184" s="66" t="s">
        <v>109</v>
      </c>
      <c r="B184" s="75">
        <f>SUM(B168:B183)</f>
        <v>921.5</v>
      </c>
      <c r="C184" s="75">
        <f t="shared" ref="C184:N184" si="113">SUM(C168:C183)</f>
        <v>5797.96875</v>
      </c>
      <c r="D184" s="75">
        <f t="shared" si="113"/>
        <v>6179.15625</v>
      </c>
      <c r="E184" s="75">
        <f t="shared" si="113"/>
        <v>19104.5</v>
      </c>
      <c r="F184" s="75">
        <f t="shared" si="113"/>
        <v>15323.5</v>
      </c>
      <c r="G184" s="75">
        <f t="shared" si="113"/>
        <v>14373.499999999998</v>
      </c>
      <c r="H184" s="75">
        <f t="shared" si="113"/>
        <v>2104.25</v>
      </c>
      <c r="I184" s="75">
        <f t="shared" si="113"/>
        <v>11347.75</v>
      </c>
      <c r="J184" s="75">
        <f t="shared" si="113"/>
        <v>4303.5</v>
      </c>
      <c r="K184" s="75">
        <f t="shared" si="113"/>
        <v>0</v>
      </c>
      <c r="L184" s="75">
        <f t="shared" si="113"/>
        <v>0</v>
      </c>
      <c r="M184" s="75">
        <f t="shared" si="113"/>
        <v>0</v>
      </c>
      <c r="N184" s="75">
        <f t="shared" si="113"/>
        <v>79455.625</v>
      </c>
    </row>
    <row r="185" spans="1:14" ht="15.75" customHeight="1" x14ac:dyDescent="0.2">
      <c r="A185" s="66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</row>
    <row r="186" spans="1:14" ht="15.75" customHeight="1" x14ac:dyDescent="0.2">
      <c r="A186" s="68" t="s">
        <v>142</v>
      </c>
      <c r="B186" s="110">
        <f>(B165/10)</f>
        <v>0.95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</row>
    <row r="187" spans="1:14" ht="15.75" customHeight="1" x14ac:dyDescent="0.2">
      <c r="A187" s="67" t="s">
        <v>3</v>
      </c>
      <c r="B187" s="108">
        <f t="shared" ref="B187:M187" si="114">((B48/B8*B147)/1000)*$B$186</f>
        <v>0</v>
      </c>
      <c r="C187" s="108">
        <f t="shared" si="114"/>
        <v>0</v>
      </c>
      <c r="D187" s="108">
        <f t="shared" si="114"/>
        <v>0</v>
      </c>
      <c r="E187" s="108">
        <f t="shared" si="114"/>
        <v>0</v>
      </c>
      <c r="F187" s="108">
        <f t="shared" si="114"/>
        <v>0</v>
      </c>
      <c r="G187" s="108">
        <f t="shared" si="114"/>
        <v>0</v>
      </c>
      <c r="H187" s="108">
        <f t="shared" si="114"/>
        <v>0</v>
      </c>
      <c r="I187" s="108">
        <f t="shared" si="114"/>
        <v>0</v>
      </c>
      <c r="J187" s="108">
        <f t="shared" si="114"/>
        <v>0</v>
      </c>
      <c r="K187" s="108">
        <f t="shared" si="114"/>
        <v>0</v>
      </c>
      <c r="L187" s="108">
        <f t="shared" si="114"/>
        <v>0</v>
      </c>
      <c r="M187" s="108">
        <f t="shared" si="114"/>
        <v>0</v>
      </c>
      <c r="N187" s="108">
        <f t="shared" ref="N187:N188" si="115">SUM(B187:M187)</f>
        <v>0</v>
      </c>
    </row>
    <row r="188" spans="1:14" ht="15.75" customHeight="1" x14ac:dyDescent="0.2">
      <c r="A188" s="67" t="s">
        <v>63</v>
      </c>
      <c r="B188" s="108">
        <f t="shared" ref="B188:M188" si="116">((B49/B9*B148)/1000)*$B$186</f>
        <v>0</v>
      </c>
      <c r="C188" s="108">
        <f t="shared" si="116"/>
        <v>0</v>
      </c>
      <c r="D188" s="108">
        <f t="shared" si="116"/>
        <v>0</v>
      </c>
      <c r="E188" s="108">
        <f t="shared" si="116"/>
        <v>0</v>
      </c>
      <c r="F188" s="108">
        <f t="shared" si="116"/>
        <v>0</v>
      </c>
      <c r="G188" s="108">
        <f t="shared" si="116"/>
        <v>0</v>
      </c>
      <c r="H188" s="108">
        <f t="shared" si="116"/>
        <v>0</v>
      </c>
      <c r="I188" s="108">
        <f t="shared" si="116"/>
        <v>0</v>
      </c>
      <c r="J188" s="108">
        <f t="shared" si="116"/>
        <v>0</v>
      </c>
      <c r="K188" s="108">
        <f t="shared" si="116"/>
        <v>0</v>
      </c>
      <c r="L188" s="108">
        <f t="shared" si="116"/>
        <v>0</v>
      </c>
      <c r="M188" s="108">
        <f t="shared" si="116"/>
        <v>0</v>
      </c>
      <c r="N188" s="108">
        <f t="shared" si="115"/>
        <v>0</v>
      </c>
    </row>
    <row r="189" spans="1:14" ht="15.75" customHeight="1" x14ac:dyDescent="0.2">
      <c r="A189" s="67" t="s">
        <v>4</v>
      </c>
      <c r="B189" s="108">
        <f t="shared" ref="B189:M189" si="117">((B50/B10*B149)/1000)*$B$186</f>
        <v>2.2653846153846153</v>
      </c>
      <c r="C189" s="108">
        <f t="shared" si="117"/>
        <v>13.592307692307692</v>
      </c>
      <c r="D189" s="108">
        <f t="shared" si="117"/>
        <v>16.807692307692307</v>
      </c>
      <c r="E189" s="108">
        <f t="shared" si="117"/>
        <v>42.384615384615387</v>
      </c>
      <c r="F189" s="108">
        <f t="shared" si="117"/>
        <v>26.746153846153849</v>
      </c>
      <c r="G189" s="108">
        <f t="shared" si="117"/>
        <v>28.280769230769231</v>
      </c>
      <c r="H189" s="108">
        <f t="shared" si="117"/>
        <v>4.3846153846153841</v>
      </c>
      <c r="I189" s="108">
        <f t="shared" si="117"/>
        <v>23.457692307692309</v>
      </c>
      <c r="J189" s="108">
        <f t="shared" si="117"/>
        <v>8.1115384615384603</v>
      </c>
      <c r="K189" s="108">
        <f t="shared" si="117"/>
        <v>0</v>
      </c>
      <c r="L189" s="108">
        <f t="shared" si="117"/>
        <v>0</v>
      </c>
      <c r="M189" s="108">
        <f t="shared" si="117"/>
        <v>0</v>
      </c>
      <c r="N189" s="108">
        <f>SUM(B189:M189)</f>
        <v>166.03076923076921</v>
      </c>
    </row>
    <row r="190" spans="1:14" ht="15.75" customHeight="1" x14ac:dyDescent="0.2">
      <c r="A190" s="67" t="s">
        <v>5</v>
      </c>
      <c r="B190" s="108">
        <f t="shared" ref="B190:M192" si="118">((B51/B11*B150)/1000)*$B$186</f>
        <v>1.4249999999999998</v>
      </c>
      <c r="C190" s="108">
        <f t="shared" si="118"/>
        <v>9.8859374999999989</v>
      </c>
      <c r="D190" s="108">
        <f t="shared" si="118"/>
        <v>6.6203124999999998</v>
      </c>
      <c r="E190" s="108">
        <f t="shared" si="118"/>
        <v>20.828749999999999</v>
      </c>
      <c r="F190" s="108">
        <f t="shared" si="118"/>
        <v>15.081249999999999</v>
      </c>
      <c r="G190" s="108">
        <f t="shared" si="118"/>
        <v>13.2525</v>
      </c>
      <c r="H190" s="108">
        <f t="shared" si="118"/>
        <v>1.78125</v>
      </c>
      <c r="I190" s="108">
        <f t="shared" si="118"/>
        <v>9.9987499999999994</v>
      </c>
      <c r="J190" s="108">
        <f t="shared" si="118"/>
        <v>4.2037499999999994</v>
      </c>
      <c r="K190" s="108">
        <f t="shared" si="118"/>
        <v>0</v>
      </c>
      <c r="L190" s="108">
        <f t="shared" si="118"/>
        <v>0</v>
      </c>
      <c r="M190" s="108">
        <f t="shared" si="118"/>
        <v>0</v>
      </c>
      <c r="N190" s="108">
        <f t="shared" ref="N190:N202" si="119">SUM(B190:M190)</f>
        <v>83.077500000000001</v>
      </c>
    </row>
    <row r="191" spans="1:14" ht="15.75" customHeight="1" x14ac:dyDescent="0.2">
      <c r="A191" s="67" t="s">
        <v>66</v>
      </c>
      <c r="B191" s="108">
        <f t="shared" si="118"/>
        <v>0</v>
      </c>
      <c r="C191" s="108">
        <f t="shared" si="118"/>
        <v>0</v>
      </c>
      <c r="D191" s="108">
        <f t="shared" si="118"/>
        <v>0</v>
      </c>
      <c r="E191" s="108">
        <f t="shared" si="118"/>
        <v>0</v>
      </c>
      <c r="F191" s="108">
        <f t="shared" si="118"/>
        <v>0</v>
      </c>
      <c r="G191" s="108">
        <f t="shared" si="118"/>
        <v>0</v>
      </c>
      <c r="H191" s="108">
        <f t="shared" si="118"/>
        <v>0</v>
      </c>
      <c r="I191" s="108">
        <f t="shared" si="118"/>
        <v>0</v>
      </c>
      <c r="J191" s="108">
        <f t="shared" si="118"/>
        <v>0</v>
      </c>
      <c r="K191" s="108">
        <f t="shared" si="118"/>
        <v>0</v>
      </c>
      <c r="L191" s="108">
        <f t="shared" si="118"/>
        <v>0</v>
      </c>
      <c r="M191" s="108">
        <f t="shared" si="118"/>
        <v>0</v>
      </c>
      <c r="N191" s="108">
        <f t="shared" si="119"/>
        <v>0</v>
      </c>
    </row>
    <row r="192" spans="1:14" ht="15.75" customHeight="1" x14ac:dyDescent="0.2">
      <c r="A192" s="67" t="s">
        <v>67</v>
      </c>
      <c r="B192" s="108">
        <f t="shared" si="118"/>
        <v>0</v>
      </c>
      <c r="C192" s="108">
        <f t="shared" si="118"/>
        <v>0</v>
      </c>
      <c r="D192" s="108">
        <f t="shared" si="118"/>
        <v>0</v>
      </c>
      <c r="E192" s="108">
        <f t="shared" si="118"/>
        <v>0</v>
      </c>
      <c r="F192" s="108">
        <f t="shared" si="118"/>
        <v>0</v>
      </c>
      <c r="G192" s="108">
        <f t="shared" si="118"/>
        <v>0</v>
      </c>
      <c r="H192" s="108">
        <f t="shared" si="118"/>
        <v>0</v>
      </c>
      <c r="I192" s="108">
        <f t="shared" si="118"/>
        <v>0</v>
      </c>
      <c r="J192" s="108">
        <f t="shared" si="118"/>
        <v>0</v>
      </c>
      <c r="K192" s="108">
        <f t="shared" si="118"/>
        <v>0</v>
      </c>
      <c r="L192" s="108">
        <f t="shared" si="118"/>
        <v>0</v>
      </c>
      <c r="M192" s="108">
        <f t="shared" si="118"/>
        <v>0</v>
      </c>
      <c r="N192" s="108">
        <f t="shared" si="119"/>
        <v>0</v>
      </c>
    </row>
    <row r="193" spans="1:16" ht="15.75" customHeight="1" x14ac:dyDescent="0.2">
      <c r="A193" s="67" t="s">
        <v>6</v>
      </c>
      <c r="B193" s="108">
        <f t="shared" ref="B193:M193" si="120">((B54/B14*B153)/1000)*$B$186</f>
        <v>4.5307692307692307</v>
      </c>
      <c r="C193" s="108">
        <f t="shared" si="120"/>
        <v>27.184615384615384</v>
      </c>
      <c r="D193" s="108">
        <f t="shared" si="120"/>
        <v>33.615384615384613</v>
      </c>
      <c r="E193" s="108">
        <f t="shared" si="120"/>
        <v>84.769230769230774</v>
      </c>
      <c r="F193" s="108">
        <f t="shared" si="120"/>
        <v>53.199999999999996</v>
      </c>
      <c r="G193" s="108">
        <f t="shared" si="120"/>
        <v>56.561538461538461</v>
      </c>
      <c r="H193" s="108">
        <f t="shared" si="120"/>
        <v>8.7692307692307683</v>
      </c>
      <c r="I193" s="108">
        <f t="shared" si="120"/>
        <v>46.915384615384617</v>
      </c>
      <c r="J193" s="108">
        <f t="shared" si="120"/>
        <v>16.223076923076921</v>
      </c>
      <c r="K193" s="108">
        <f t="shared" si="120"/>
        <v>0</v>
      </c>
      <c r="L193" s="108">
        <f t="shared" si="120"/>
        <v>0</v>
      </c>
      <c r="M193" s="108">
        <f t="shared" si="120"/>
        <v>0</v>
      </c>
      <c r="N193" s="108">
        <f t="shared" si="119"/>
        <v>331.76923076923072</v>
      </c>
    </row>
    <row r="194" spans="1:16" ht="15.75" customHeight="1" x14ac:dyDescent="0.2">
      <c r="A194" s="67" t="s">
        <v>7</v>
      </c>
      <c r="B194" s="108">
        <f t="shared" ref="B194:M194" si="121">((B55/B15*B154)/1000)*$B$186</f>
        <v>1.4249999999999998</v>
      </c>
      <c r="C194" s="108">
        <f t="shared" si="121"/>
        <v>8.90625</v>
      </c>
      <c r="D194" s="108">
        <f t="shared" si="121"/>
        <v>14.012499999999999</v>
      </c>
      <c r="E194" s="108">
        <f t="shared" si="121"/>
        <v>27.431249999999999</v>
      </c>
      <c r="F194" s="108">
        <f t="shared" si="121"/>
        <v>17.931249999999999</v>
      </c>
      <c r="G194" s="108">
        <f t="shared" si="121"/>
        <v>19.474999999999998</v>
      </c>
      <c r="H194" s="108">
        <f t="shared" si="121"/>
        <v>2.96875</v>
      </c>
      <c r="I194" s="108">
        <f t="shared" si="121"/>
        <v>15.674999999999999</v>
      </c>
      <c r="J194" s="108">
        <f t="shared" si="121"/>
        <v>5.6999999999999993</v>
      </c>
      <c r="K194" s="108">
        <f t="shared" si="121"/>
        <v>0</v>
      </c>
      <c r="L194" s="108">
        <f t="shared" si="121"/>
        <v>0</v>
      </c>
      <c r="M194" s="108">
        <f t="shared" si="121"/>
        <v>0</v>
      </c>
      <c r="N194" s="108">
        <f t="shared" si="119"/>
        <v>113.52499999999999</v>
      </c>
    </row>
    <row r="195" spans="1:16" ht="15.75" customHeight="1" x14ac:dyDescent="0.2">
      <c r="A195" s="67" t="s">
        <v>8</v>
      </c>
      <c r="B195" s="108">
        <f t="shared" ref="B195:M195" si="122">((B56/B16*B155)/1000)*$B$186</f>
        <v>1.1399999999999999</v>
      </c>
      <c r="C195" s="108">
        <f t="shared" si="122"/>
        <v>7.125</v>
      </c>
      <c r="D195" s="108">
        <f t="shared" si="122"/>
        <v>8.5499999999999989</v>
      </c>
      <c r="E195" s="108">
        <f t="shared" si="122"/>
        <v>21.945</v>
      </c>
      <c r="F195" s="108">
        <f t="shared" si="122"/>
        <v>14.344999999999999</v>
      </c>
      <c r="G195" s="108">
        <f t="shared" si="122"/>
        <v>15.579999999999998</v>
      </c>
      <c r="H195" s="108">
        <f t="shared" si="122"/>
        <v>2.375</v>
      </c>
      <c r="I195" s="108">
        <f t="shared" si="122"/>
        <v>12.54</v>
      </c>
      <c r="J195" s="108">
        <f t="shared" si="122"/>
        <v>4.5599999999999996</v>
      </c>
      <c r="K195" s="108">
        <f t="shared" si="122"/>
        <v>0</v>
      </c>
      <c r="L195" s="108">
        <f t="shared" si="122"/>
        <v>0</v>
      </c>
      <c r="M195" s="108">
        <f t="shared" si="122"/>
        <v>0</v>
      </c>
      <c r="N195" s="108">
        <f t="shared" si="119"/>
        <v>88.16</v>
      </c>
    </row>
    <row r="196" spans="1:16" ht="15.75" customHeight="1" x14ac:dyDescent="0.2">
      <c r="A196" s="67" t="s">
        <v>71</v>
      </c>
      <c r="B196" s="108">
        <f>((B57/B17*B156)/1000)*$B$186</f>
        <v>0</v>
      </c>
      <c r="C196" s="108">
        <f t="shared" ref="C196:M196" si="123">((C57/C17*C156)/1000)*$B$186</f>
        <v>0</v>
      </c>
      <c r="D196" s="108">
        <f t="shared" si="123"/>
        <v>0</v>
      </c>
      <c r="E196" s="108">
        <f t="shared" si="123"/>
        <v>0</v>
      </c>
      <c r="F196" s="108">
        <f t="shared" si="123"/>
        <v>0</v>
      </c>
      <c r="G196" s="108">
        <f t="shared" si="123"/>
        <v>0</v>
      </c>
      <c r="H196" s="108">
        <f t="shared" si="123"/>
        <v>0</v>
      </c>
      <c r="I196" s="108">
        <f t="shared" si="123"/>
        <v>0</v>
      </c>
      <c r="J196" s="108">
        <f t="shared" si="123"/>
        <v>0</v>
      </c>
      <c r="K196" s="108">
        <f t="shared" si="123"/>
        <v>0</v>
      </c>
      <c r="L196" s="108">
        <f t="shared" si="123"/>
        <v>0</v>
      </c>
      <c r="M196" s="108">
        <f t="shared" si="123"/>
        <v>0</v>
      </c>
      <c r="N196" s="108">
        <f t="shared" si="119"/>
        <v>0</v>
      </c>
    </row>
    <row r="197" spans="1:16" ht="15.75" customHeight="1" x14ac:dyDescent="0.2">
      <c r="A197" s="67" t="s">
        <v>9</v>
      </c>
      <c r="B197" s="108">
        <f t="shared" ref="B197:M197" si="124">((B58/B18*B157)/1000)*$B$186</f>
        <v>1.4249999999999998</v>
      </c>
      <c r="C197" s="108">
        <f t="shared" si="124"/>
        <v>9.8859374999999989</v>
      </c>
      <c r="D197" s="108">
        <f t="shared" si="124"/>
        <v>6.6203124999999998</v>
      </c>
      <c r="E197" s="108">
        <f t="shared" si="124"/>
        <v>20.828749999999999</v>
      </c>
      <c r="F197" s="108">
        <f t="shared" si="124"/>
        <v>15.081249999999999</v>
      </c>
      <c r="G197" s="108">
        <f t="shared" si="124"/>
        <v>13.2525</v>
      </c>
      <c r="H197" s="108">
        <f t="shared" si="124"/>
        <v>1.78125</v>
      </c>
      <c r="I197" s="108">
        <f t="shared" si="124"/>
        <v>9.9987499999999994</v>
      </c>
      <c r="J197" s="108">
        <f t="shared" si="124"/>
        <v>4.2037499999999994</v>
      </c>
      <c r="K197" s="108">
        <f t="shared" si="124"/>
        <v>0</v>
      </c>
      <c r="L197" s="108">
        <f t="shared" si="124"/>
        <v>0</v>
      </c>
      <c r="M197" s="108">
        <f t="shared" si="124"/>
        <v>0</v>
      </c>
      <c r="N197" s="108">
        <f t="shared" si="119"/>
        <v>83.077500000000001</v>
      </c>
    </row>
    <row r="198" spans="1:16" ht="15.75" customHeight="1" x14ac:dyDescent="0.2">
      <c r="A198" s="67" t="s">
        <v>10</v>
      </c>
      <c r="B198" s="108">
        <f t="shared" ref="B198:M199" si="125">((B59/B19*B158)/1000)*$B$186</f>
        <v>1.1399999999999999</v>
      </c>
      <c r="C198" s="108">
        <f t="shared" si="125"/>
        <v>7.9087499999999986</v>
      </c>
      <c r="D198" s="108">
        <f t="shared" si="125"/>
        <v>5.2962499999999997</v>
      </c>
      <c r="E198" s="108">
        <f t="shared" si="125"/>
        <v>18.453749999999999</v>
      </c>
      <c r="F198" s="108">
        <f t="shared" si="125"/>
        <v>15.081249999999999</v>
      </c>
      <c r="G198" s="108">
        <f t="shared" si="125"/>
        <v>13.2525</v>
      </c>
      <c r="H198" s="108">
        <f t="shared" si="125"/>
        <v>1.78125</v>
      </c>
      <c r="I198" s="108">
        <f t="shared" si="125"/>
        <v>9.9987499999999994</v>
      </c>
      <c r="J198" s="108">
        <f t="shared" si="125"/>
        <v>4.2037499999999994</v>
      </c>
      <c r="K198" s="108">
        <f t="shared" si="125"/>
        <v>0</v>
      </c>
      <c r="L198" s="108">
        <f t="shared" si="125"/>
        <v>0</v>
      </c>
      <c r="M198" s="108">
        <f t="shared" si="125"/>
        <v>0</v>
      </c>
      <c r="N198" s="108">
        <f t="shared" si="119"/>
        <v>77.116249999999994</v>
      </c>
    </row>
    <row r="199" spans="1:16" ht="15.75" customHeight="1" x14ac:dyDescent="0.2">
      <c r="A199" s="67" t="s">
        <v>73</v>
      </c>
      <c r="B199" s="108">
        <f t="shared" si="125"/>
        <v>0</v>
      </c>
      <c r="C199" s="108">
        <f t="shared" si="125"/>
        <v>0</v>
      </c>
      <c r="D199" s="108">
        <f t="shared" si="125"/>
        <v>0</v>
      </c>
      <c r="E199" s="108">
        <f t="shared" si="125"/>
        <v>0</v>
      </c>
      <c r="F199" s="108">
        <f t="shared" si="125"/>
        <v>0</v>
      </c>
      <c r="G199" s="108">
        <f t="shared" si="125"/>
        <v>0</v>
      </c>
      <c r="H199" s="108">
        <f t="shared" si="125"/>
        <v>0</v>
      </c>
      <c r="I199" s="108">
        <f t="shared" si="125"/>
        <v>0</v>
      </c>
      <c r="J199" s="108">
        <f t="shared" si="125"/>
        <v>0</v>
      </c>
      <c r="K199" s="108">
        <f t="shared" si="125"/>
        <v>0</v>
      </c>
      <c r="L199" s="108">
        <f t="shared" si="125"/>
        <v>0</v>
      </c>
      <c r="M199" s="108">
        <f t="shared" si="125"/>
        <v>0</v>
      </c>
      <c r="N199" s="108">
        <f t="shared" si="119"/>
        <v>0</v>
      </c>
    </row>
    <row r="200" spans="1:16" ht="15.75" customHeight="1" x14ac:dyDescent="0.2">
      <c r="A200" s="67" t="s">
        <v>72</v>
      </c>
      <c r="B200" s="108">
        <f t="shared" ref="B200:M200" si="126">((B61/B21*B160)/1000)*$B$186</f>
        <v>0</v>
      </c>
      <c r="C200" s="108">
        <f t="shared" si="126"/>
        <v>0</v>
      </c>
      <c r="D200" s="108">
        <f t="shared" si="126"/>
        <v>0</v>
      </c>
      <c r="E200" s="108">
        <f t="shared" si="126"/>
        <v>0</v>
      </c>
      <c r="F200" s="108">
        <f t="shared" si="126"/>
        <v>0</v>
      </c>
      <c r="G200" s="108">
        <f t="shared" si="126"/>
        <v>0</v>
      </c>
      <c r="H200" s="108">
        <f t="shared" si="126"/>
        <v>0</v>
      </c>
      <c r="I200" s="108">
        <f t="shared" si="126"/>
        <v>0</v>
      </c>
      <c r="J200" s="108">
        <f t="shared" si="126"/>
        <v>0</v>
      </c>
      <c r="K200" s="108">
        <f t="shared" si="126"/>
        <v>0</v>
      </c>
      <c r="L200" s="108">
        <f t="shared" si="126"/>
        <v>0</v>
      </c>
      <c r="M200" s="108">
        <f t="shared" si="126"/>
        <v>0</v>
      </c>
      <c r="N200" s="108">
        <f t="shared" si="119"/>
        <v>0</v>
      </c>
    </row>
    <row r="201" spans="1:16" ht="15.75" customHeight="1" x14ac:dyDescent="0.2">
      <c r="A201" s="67" t="s">
        <v>74</v>
      </c>
      <c r="B201" s="108">
        <f t="shared" ref="B201:M201" si="127">((B62/B22*B161)/1000)*$B$186</f>
        <v>0</v>
      </c>
      <c r="C201" s="108">
        <f t="shared" si="127"/>
        <v>0</v>
      </c>
      <c r="D201" s="108">
        <f t="shared" si="127"/>
        <v>0</v>
      </c>
      <c r="E201" s="108">
        <f t="shared" si="127"/>
        <v>0</v>
      </c>
      <c r="F201" s="108">
        <f t="shared" si="127"/>
        <v>0</v>
      </c>
      <c r="G201" s="108">
        <f t="shared" si="127"/>
        <v>0</v>
      </c>
      <c r="H201" s="108">
        <f t="shared" si="127"/>
        <v>0</v>
      </c>
      <c r="I201" s="108">
        <f t="shared" si="127"/>
        <v>0</v>
      </c>
      <c r="J201" s="108">
        <f t="shared" si="127"/>
        <v>0</v>
      </c>
      <c r="K201" s="108">
        <f t="shared" si="127"/>
        <v>0</v>
      </c>
      <c r="L201" s="108">
        <f t="shared" si="127"/>
        <v>0</v>
      </c>
      <c r="M201" s="108">
        <f t="shared" si="127"/>
        <v>0</v>
      </c>
      <c r="N201" s="108">
        <f t="shared" si="119"/>
        <v>0</v>
      </c>
    </row>
    <row r="202" spans="1:16" ht="15.75" customHeight="1" x14ac:dyDescent="0.2">
      <c r="A202" s="67" t="s">
        <v>11</v>
      </c>
      <c r="B202" s="109">
        <f t="shared" ref="B202:M202" si="128">((B63/B23*B162)/1000)*$B$186</f>
        <v>9.6055555555555543</v>
      </c>
      <c r="C202" s="109">
        <f t="shared" si="128"/>
        <v>57.633333333333326</v>
      </c>
      <c r="D202" s="109">
        <f t="shared" si="128"/>
        <v>67.608333333333334</v>
      </c>
      <c r="E202" s="109">
        <f t="shared" si="128"/>
        <v>177.33333333333331</v>
      </c>
      <c r="F202" s="109">
        <f t="shared" si="128"/>
        <v>103.07499999999999</v>
      </c>
      <c r="G202" s="109">
        <f t="shared" si="128"/>
        <v>108.61666666666666</v>
      </c>
      <c r="H202" s="109">
        <f t="shared" si="128"/>
        <v>16.625</v>
      </c>
      <c r="I202" s="109">
        <f t="shared" si="128"/>
        <v>86.265277777777769</v>
      </c>
      <c r="J202" s="109">
        <f t="shared" si="128"/>
        <v>31.033333333333335</v>
      </c>
      <c r="K202" s="109">
        <f t="shared" si="128"/>
        <v>0</v>
      </c>
      <c r="L202" s="109">
        <f t="shared" si="128"/>
        <v>0</v>
      </c>
      <c r="M202" s="109">
        <f t="shared" si="128"/>
        <v>0</v>
      </c>
      <c r="N202" s="109">
        <f t="shared" si="119"/>
        <v>657.79583333333323</v>
      </c>
    </row>
    <row r="203" spans="1:16" ht="15.75" customHeight="1" x14ac:dyDescent="0.2">
      <c r="A203" s="66" t="s">
        <v>109</v>
      </c>
      <c r="B203" s="75">
        <f>SUM(B187:B202)</f>
        <v>22.956709401709404</v>
      </c>
      <c r="C203" s="75">
        <f t="shared" ref="C203:N203" si="129">SUM(C187:C202)</f>
        <v>142.12213141025637</v>
      </c>
      <c r="D203" s="75">
        <f t="shared" si="129"/>
        <v>159.13078525641026</v>
      </c>
      <c r="E203" s="75">
        <f t="shared" si="129"/>
        <v>413.97467948717946</v>
      </c>
      <c r="F203" s="75">
        <f t="shared" si="129"/>
        <v>260.54115384615386</v>
      </c>
      <c r="G203" s="75">
        <f t="shared" si="129"/>
        <v>268.27147435897433</v>
      </c>
      <c r="H203" s="75">
        <f t="shared" si="129"/>
        <v>40.466346153846153</v>
      </c>
      <c r="I203" s="75">
        <f t="shared" si="129"/>
        <v>214.84960470085468</v>
      </c>
      <c r="J203" s="75">
        <f t="shared" si="129"/>
        <v>78.23919871794871</v>
      </c>
      <c r="K203" s="75">
        <f t="shared" si="129"/>
        <v>0</v>
      </c>
      <c r="L203" s="75">
        <f t="shared" si="129"/>
        <v>0</v>
      </c>
      <c r="M203" s="75">
        <f t="shared" si="129"/>
        <v>0</v>
      </c>
      <c r="N203" s="75">
        <f t="shared" si="129"/>
        <v>1600.552083333333</v>
      </c>
    </row>
    <row r="204" spans="1:16" ht="15.75" customHeight="1" x14ac:dyDescent="0.2">
      <c r="B204" s="40"/>
      <c r="D204" s="38"/>
    </row>
    <row r="205" spans="1:16" ht="15.75" customHeight="1" x14ac:dyDescent="0.2">
      <c r="A205" s="68" t="s">
        <v>79</v>
      </c>
      <c r="B205" s="98">
        <f>205</f>
        <v>205</v>
      </c>
      <c r="C205" s="66" t="s">
        <v>121</v>
      </c>
      <c r="D205" s="38"/>
    </row>
    <row r="206" spans="1:16" ht="15.75" customHeight="1" x14ac:dyDescent="0.2">
      <c r="A206" s="67" t="s">
        <v>3</v>
      </c>
      <c r="B206" s="96">
        <f t="shared" ref="B206:M206" si="130">$B$205*$O$8</f>
        <v>13.666666666666666</v>
      </c>
      <c r="C206" s="96">
        <f t="shared" si="130"/>
        <v>13.666666666666666</v>
      </c>
      <c r="D206" s="96">
        <f t="shared" si="130"/>
        <v>13.666666666666666</v>
      </c>
      <c r="E206" s="96">
        <f t="shared" si="130"/>
        <v>13.666666666666666</v>
      </c>
      <c r="F206" s="96">
        <f t="shared" si="130"/>
        <v>13.666666666666666</v>
      </c>
      <c r="G206" s="96">
        <f t="shared" si="130"/>
        <v>13.666666666666666</v>
      </c>
      <c r="H206" s="96">
        <f t="shared" si="130"/>
        <v>13.666666666666666</v>
      </c>
      <c r="I206" s="96">
        <f t="shared" si="130"/>
        <v>13.666666666666666</v>
      </c>
      <c r="J206" s="96">
        <f t="shared" si="130"/>
        <v>13.666666666666666</v>
      </c>
      <c r="K206" s="96">
        <f t="shared" si="130"/>
        <v>13.666666666666666</v>
      </c>
      <c r="L206" s="96">
        <f t="shared" si="130"/>
        <v>13.666666666666666</v>
      </c>
      <c r="M206" s="96">
        <f t="shared" si="130"/>
        <v>13.666666666666666</v>
      </c>
      <c r="N206" s="96">
        <f>SUM(B206:M206)</f>
        <v>164</v>
      </c>
      <c r="O206" s="72"/>
      <c r="P206" s="72"/>
    </row>
    <row r="207" spans="1:16" ht="15.75" customHeight="1" x14ac:dyDescent="0.2">
      <c r="A207" s="67" t="s">
        <v>63</v>
      </c>
      <c r="B207" s="96">
        <f t="shared" ref="B207:M207" si="131">$B$205*$O$9</f>
        <v>2.2777777777777777</v>
      </c>
      <c r="C207" s="96">
        <f t="shared" si="131"/>
        <v>2.2777777777777777</v>
      </c>
      <c r="D207" s="96">
        <f t="shared" si="131"/>
        <v>2.2777777777777777</v>
      </c>
      <c r="E207" s="96">
        <f t="shared" si="131"/>
        <v>2.2777777777777777</v>
      </c>
      <c r="F207" s="96">
        <f t="shared" si="131"/>
        <v>2.2777777777777777</v>
      </c>
      <c r="G207" s="96">
        <f t="shared" si="131"/>
        <v>2.2777777777777777</v>
      </c>
      <c r="H207" s="96">
        <f t="shared" si="131"/>
        <v>2.2777777777777777</v>
      </c>
      <c r="I207" s="96">
        <f t="shared" si="131"/>
        <v>2.2777777777777777</v>
      </c>
      <c r="J207" s="96">
        <f t="shared" si="131"/>
        <v>2.2777777777777777</v>
      </c>
      <c r="K207" s="96">
        <f t="shared" si="131"/>
        <v>2.2777777777777777</v>
      </c>
      <c r="L207" s="96">
        <f t="shared" si="131"/>
        <v>2.2777777777777777</v>
      </c>
      <c r="M207" s="96">
        <f t="shared" si="131"/>
        <v>2.2777777777777777</v>
      </c>
      <c r="N207" s="96">
        <f>SUM(B207:M207)</f>
        <v>27.333333333333339</v>
      </c>
      <c r="O207" s="72"/>
      <c r="P207" s="72"/>
    </row>
    <row r="208" spans="1:16" ht="15.75" customHeight="1" x14ac:dyDescent="0.2">
      <c r="A208" s="67" t="s">
        <v>4</v>
      </c>
      <c r="B208" s="96">
        <f t="shared" ref="B208:M208" si="132">$B$205*$O$10</f>
        <v>29.611111111111107</v>
      </c>
      <c r="C208" s="96">
        <f t="shared" si="132"/>
        <v>29.611111111111107</v>
      </c>
      <c r="D208" s="96">
        <f t="shared" si="132"/>
        <v>29.611111111111107</v>
      </c>
      <c r="E208" s="96">
        <f t="shared" si="132"/>
        <v>29.611111111111107</v>
      </c>
      <c r="F208" s="96">
        <f t="shared" si="132"/>
        <v>29.611111111111107</v>
      </c>
      <c r="G208" s="96">
        <f t="shared" si="132"/>
        <v>29.611111111111107</v>
      </c>
      <c r="H208" s="96">
        <f t="shared" si="132"/>
        <v>29.611111111111107</v>
      </c>
      <c r="I208" s="96">
        <f t="shared" si="132"/>
        <v>29.611111111111107</v>
      </c>
      <c r="J208" s="96">
        <f t="shared" si="132"/>
        <v>29.611111111111107</v>
      </c>
      <c r="K208" s="96">
        <f t="shared" si="132"/>
        <v>29.611111111111107</v>
      </c>
      <c r="L208" s="96">
        <f t="shared" si="132"/>
        <v>29.611111111111107</v>
      </c>
      <c r="M208" s="96">
        <f t="shared" si="132"/>
        <v>29.611111111111107</v>
      </c>
      <c r="N208" s="96">
        <f t="shared" ref="N208:N222" si="133">SUM(B208:M208)</f>
        <v>355.33333333333326</v>
      </c>
      <c r="O208" s="72"/>
      <c r="P208" s="72"/>
    </row>
    <row r="209" spans="1:16" ht="15.75" customHeight="1" x14ac:dyDescent="0.2">
      <c r="A209" s="67" t="s">
        <v>5</v>
      </c>
      <c r="B209" s="96">
        <f t="shared" ref="B209:M209" si="134">$B$205*$O$11</f>
        <v>9.1111111111111107</v>
      </c>
      <c r="C209" s="96">
        <f t="shared" si="134"/>
        <v>9.1111111111111107</v>
      </c>
      <c r="D209" s="96">
        <f t="shared" si="134"/>
        <v>9.1111111111111107</v>
      </c>
      <c r="E209" s="96">
        <f t="shared" si="134"/>
        <v>9.1111111111111107</v>
      </c>
      <c r="F209" s="96">
        <f t="shared" si="134"/>
        <v>9.1111111111111107</v>
      </c>
      <c r="G209" s="96">
        <f t="shared" si="134"/>
        <v>9.1111111111111107</v>
      </c>
      <c r="H209" s="96">
        <f t="shared" si="134"/>
        <v>9.1111111111111107</v>
      </c>
      <c r="I209" s="96">
        <f t="shared" si="134"/>
        <v>9.1111111111111107</v>
      </c>
      <c r="J209" s="96">
        <f t="shared" si="134"/>
        <v>9.1111111111111107</v>
      </c>
      <c r="K209" s="96">
        <f t="shared" si="134"/>
        <v>9.1111111111111107</v>
      </c>
      <c r="L209" s="96">
        <f t="shared" si="134"/>
        <v>9.1111111111111107</v>
      </c>
      <c r="M209" s="96">
        <f t="shared" si="134"/>
        <v>9.1111111111111107</v>
      </c>
      <c r="N209" s="96">
        <f t="shared" si="133"/>
        <v>109.33333333333336</v>
      </c>
      <c r="O209" s="72"/>
      <c r="P209" s="72"/>
    </row>
    <row r="210" spans="1:16" ht="15.75" customHeight="1" x14ac:dyDescent="0.2">
      <c r="A210" s="67" t="s">
        <v>66</v>
      </c>
      <c r="B210" s="96">
        <f>$B$205*$O$12</f>
        <v>6.833333333333333</v>
      </c>
      <c r="C210" s="96">
        <f t="shared" ref="C210:M210" si="135">$B$205*$O$12</f>
        <v>6.833333333333333</v>
      </c>
      <c r="D210" s="96">
        <f t="shared" si="135"/>
        <v>6.833333333333333</v>
      </c>
      <c r="E210" s="96">
        <f t="shared" si="135"/>
        <v>6.833333333333333</v>
      </c>
      <c r="F210" s="96">
        <f t="shared" si="135"/>
        <v>6.833333333333333</v>
      </c>
      <c r="G210" s="96">
        <f t="shared" si="135"/>
        <v>6.833333333333333</v>
      </c>
      <c r="H210" s="96">
        <f t="shared" si="135"/>
        <v>6.833333333333333</v>
      </c>
      <c r="I210" s="96">
        <f t="shared" si="135"/>
        <v>6.833333333333333</v>
      </c>
      <c r="J210" s="96">
        <f t="shared" si="135"/>
        <v>6.833333333333333</v>
      </c>
      <c r="K210" s="96">
        <f t="shared" si="135"/>
        <v>6.833333333333333</v>
      </c>
      <c r="L210" s="96">
        <f t="shared" si="135"/>
        <v>6.833333333333333</v>
      </c>
      <c r="M210" s="96">
        <f t="shared" si="135"/>
        <v>6.833333333333333</v>
      </c>
      <c r="N210" s="96">
        <f t="shared" si="133"/>
        <v>82</v>
      </c>
      <c r="O210" s="72"/>
      <c r="P210" s="72"/>
    </row>
    <row r="211" spans="1:16" ht="15.75" customHeight="1" x14ac:dyDescent="0.2">
      <c r="A211" s="67" t="s">
        <v>67</v>
      </c>
      <c r="B211" s="96">
        <f>$B$205*$O$13</f>
        <v>4.5555555555555554</v>
      </c>
      <c r="C211" s="96">
        <f t="shared" ref="C211:M211" si="136">$B$205*$O$13</f>
        <v>4.5555555555555554</v>
      </c>
      <c r="D211" s="96">
        <f t="shared" si="136"/>
        <v>4.5555555555555554</v>
      </c>
      <c r="E211" s="96">
        <f t="shared" si="136"/>
        <v>4.5555555555555554</v>
      </c>
      <c r="F211" s="96">
        <f t="shared" si="136"/>
        <v>4.5555555555555554</v>
      </c>
      <c r="G211" s="96">
        <f t="shared" si="136"/>
        <v>4.5555555555555554</v>
      </c>
      <c r="H211" s="96">
        <f t="shared" si="136"/>
        <v>4.5555555555555554</v>
      </c>
      <c r="I211" s="96">
        <f t="shared" si="136"/>
        <v>4.5555555555555554</v>
      </c>
      <c r="J211" s="96">
        <f t="shared" si="136"/>
        <v>4.5555555555555554</v>
      </c>
      <c r="K211" s="96">
        <f t="shared" si="136"/>
        <v>4.5555555555555554</v>
      </c>
      <c r="L211" s="96">
        <f t="shared" si="136"/>
        <v>4.5555555555555554</v>
      </c>
      <c r="M211" s="96">
        <f t="shared" si="136"/>
        <v>4.5555555555555554</v>
      </c>
      <c r="N211" s="96">
        <f t="shared" si="133"/>
        <v>54.666666666666679</v>
      </c>
      <c r="O211" s="72"/>
      <c r="P211" s="72"/>
    </row>
    <row r="212" spans="1:16" ht="15.75" customHeight="1" x14ac:dyDescent="0.2">
      <c r="A212" s="67" t="s">
        <v>6</v>
      </c>
      <c r="B212" s="96">
        <f t="shared" ref="B212:M212" si="137">$B$205*$O$14</f>
        <v>29.611111111111107</v>
      </c>
      <c r="C212" s="96">
        <f t="shared" si="137"/>
        <v>29.611111111111107</v>
      </c>
      <c r="D212" s="96">
        <f t="shared" si="137"/>
        <v>29.611111111111107</v>
      </c>
      <c r="E212" s="96">
        <f t="shared" si="137"/>
        <v>29.611111111111107</v>
      </c>
      <c r="F212" s="96">
        <f t="shared" si="137"/>
        <v>29.611111111111107</v>
      </c>
      <c r="G212" s="96">
        <f t="shared" si="137"/>
        <v>29.611111111111107</v>
      </c>
      <c r="H212" s="96">
        <f t="shared" si="137"/>
        <v>29.611111111111107</v>
      </c>
      <c r="I212" s="96">
        <f t="shared" si="137"/>
        <v>29.611111111111107</v>
      </c>
      <c r="J212" s="96">
        <f t="shared" si="137"/>
        <v>29.611111111111107</v>
      </c>
      <c r="K212" s="96">
        <f t="shared" si="137"/>
        <v>29.611111111111107</v>
      </c>
      <c r="L212" s="96">
        <f t="shared" si="137"/>
        <v>29.611111111111107</v>
      </c>
      <c r="M212" s="96">
        <f t="shared" si="137"/>
        <v>29.611111111111107</v>
      </c>
      <c r="N212" s="96">
        <f t="shared" si="133"/>
        <v>355.33333333333326</v>
      </c>
      <c r="O212" s="72"/>
      <c r="P212" s="72"/>
    </row>
    <row r="213" spans="1:16" ht="15.75" customHeight="1" x14ac:dyDescent="0.2">
      <c r="A213" s="67" t="s">
        <v>7</v>
      </c>
      <c r="B213" s="96">
        <f t="shared" ref="B213:M213" si="138">$B$205*$O$15</f>
        <v>9.1111111111111107</v>
      </c>
      <c r="C213" s="96">
        <f t="shared" si="138"/>
        <v>9.1111111111111107</v>
      </c>
      <c r="D213" s="96">
        <f t="shared" si="138"/>
        <v>9.1111111111111107</v>
      </c>
      <c r="E213" s="96">
        <f t="shared" si="138"/>
        <v>9.1111111111111107</v>
      </c>
      <c r="F213" s="96">
        <f t="shared" si="138"/>
        <v>9.1111111111111107</v>
      </c>
      <c r="G213" s="96">
        <f t="shared" si="138"/>
        <v>9.1111111111111107</v>
      </c>
      <c r="H213" s="96">
        <f t="shared" si="138"/>
        <v>9.1111111111111107</v>
      </c>
      <c r="I213" s="96">
        <f t="shared" si="138"/>
        <v>9.1111111111111107</v>
      </c>
      <c r="J213" s="96">
        <f t="shared" si="138"/>
        <v>9.1111111111111107</v>
      </c>
      <c r="K213" s="96">
        <f t="shared" si="138"/>
        <v>9.1111111111111107</v>
      </c>
      <c r="L213" s="96">
        <f t="shared" si="138"/>
        <v>9.1111111111111107</v>
      </c>
      <c r="M213" s="96">
        <f t="shared" si="138"/>
        <v>9.1111111111111107</v>
      </c>
      <c r="N213" s="96">
        <f t="shared" si="133"/>
        <v>109.33333333333336</v>
      </c>
      <c r="O213" s="72"/>
      <c r="P213" s="72"/>
    </row>
    <row r="214" spans="1:16" ht="15.75" customHeight="1" x14ac:dyDescent="0.2">
      <c r="A214" s="67" t="s">
        <v>8</v>
      </c>
      <c r="B214" s="96">
        <f t="shared" ref="B214:M214" si="139">$B$205*$O$16</f>
        <v>11.388888888888888</v>
      </c>
      <c r="C214" s="96">
        <f t="shared" si="139"/>
        <v>11.388888888888888</v>
      </c>
      <c r="D214" s="96">
        <f t="shared" si="139"/>
        <v>11.388888888888888</v>
      </c>
      <c r="E214" s="96">
        <f t="shared" si="139"/>
        <v>11.388888888888888</v>
      </c>
      <c r="F214" s="96">
        <f t="shared" si="139"/>
        <v>11.388888888888888</v>
      </c>
      <c r="G214" s="96">
        <f t="shared" si="139"/>
        <v>11.388888888888888</v>
      </c>
      <c r="H214" s="96">
        <f t="shared" si="139"/>
        <v>11.388888888888888</v>
      </c>
      <c r="I214" s="96">
        <f t="shared" si="139"/>
        <v>11.388888888888888</v>
      </c>
      <c r="J214" s="96">
        <f t="shared" si="139"/>
        <v>11.388888888888888</v>
      </c>
      <c r="K214" s="96">
        <f t="shared" si="139"/>
        <v>11.388888888888888</v>
      </c>
      <c r="L214" s="96">
        <f t="shared" si="139"/>
        <v>11.388888888888888</v>
      </c>
      <c r="M214" s="96">
        <f t="shared" si="139"/>
        <v>11.388888888888888</v>
      </c>
      <c r="N214" s="96">
        <f t="shared" si="133"/>
        <v>136.66666666666666</v>
      </c>
      <c r="O214" s="72"/>
      <c r="P214" s="72"/>
    </row>
    <row r="215" spans="1:16" ht="15.75" customHeight="1" x14ac:dyDescent="0.2">
      <c r="A215" s="67" t="s">
        <v>71</v>
      </c>
      <c r="B215" s="96">
        <f>$B$205*$O$17</f>
        <v>4.5555555555555554</v>
      </c>
      <c r="C215" s="96">
        <f t="shared" ref="C215:M215" si="140">$B$205*$O$17</f>
        <v>4.5555555555555554</v>
      </c>
      <c r="D215" s="96">
        <f t="shared" si="140"/>
        <v>4.5555555555555554</v>
      </c>
      <c r="E215" s="96">
        <f t="shared" si="140"/>
        <v>4.5555555555555554</v>
      </c>
      <c r="F215" s="96">
        <f t="shared" si="140"/>
        <v>4.5555555555555554</v>
      </c>
      <c r="G215" s="96">
        <f t="shared" si="140"/>
        <v>4.5555555555555554</v>
      </c>
      <c r="H215" s="96">
        <f t="shared" si="140"/>
        <v>4.5555555555555554</v>
      </c>
      <c r="I215" s="96">
        <f t="shared" si="140"/>
        <v>4.5555555555555554</v>
      </c>
      <c r="J215" s="96">
        <f t="shared" si="140"/>
        <v>4.5555555555555554</v>
      </c>
      <c r="K215" s="96">
        <f t="shared" si="140"/>
        <v>4.5555555555555554</v>
      </c>
      <c r="L215" s="96">
        <f t="shared" si="140"/>
        <v>4.5555555555555554</v>
      </c>
      <c r="M215" s="96">
        <f t="shared" si="140"/>
        <v>4.5555555555555554</v>
      </c>
      <c r="N215" s="96">
        <f>SUM(B215:M215)</f>
        <v>54.666666666666679</v>
      </c>
      <c r="O215" s="72"/>
      <c r="P215" s="72"/>
    </row>
    <row r="216" spans="1:16" ht="15.75" customHeight="1" x14ac:dyDescent="0.2">
      <c r="A216" s="67" t="s">
        <v>9</v>
      </c>
      <c r="B216" s="96">
        <f t="shared" ref="B216:M216" si="141">$B$205*$O$18</f>
        <v>9.1111111111111107</v>
      </c>
      <c r="C216" s="96">
        <f t="shared" si="141"/>
        <v>9.1111111111111107</v>
      </c>
      <c r="D216" s="96">
        <f t="shared" si="141"/>
        <v>9.1111111111111107</v>
      </c>
      <c r="E216" s="96">
        <f t="shared" si="141"/>
        <v>9.1111111111111107</v>
      </c>
      <c r="F216" s="96">
        <f t="shared" si="141"/>
        <v>9.1111111111111107</v>
      </c>
      <c r="G216" s="96">
        <f t="shared" si="141"/>
        <v>9.1111111111111107</v>
      </c>
      <c r="H216" s="96">
        <f t="shared" si="141"/>
        <v>9.1111111111111107</v>
      </c>
      <c r="I216" s="96">
        <f t="shared" si="141"/>
        <v>9.1111111111111107</v>
      </c>
      <c r="J216" s="96">
        <f t="shared" si="141"/>
        <v>9.1111111111111107</v>
      </c>
      <c r="K216" s="96">
        <f t="shared" si="141"/>
        <v>9.1111111111111107</v>
      </c>
      <c r="L216" s="96">
        <f t="shared" si="141"/>
        <v>9.1111111111111107</v>
      </c>
      <c r="M216" s="96">
        <f t="shared" si="141"/>
        <v>9.1111111111111107</v>
      </c>
      <c r="N216" s="96">
        <f t="shared" si="133"/>
        <v>109.33333333333336</v>
      </c>
      <c r="O216" s="72"/>
      <c r="P216" s="72"/>
    </row>
    <row r="217" spans="1:16" ht="15.75" customHeight="1" x14ac:dyDescent="0.2">
      <c r="A217" s="67" t="s">
        <v>10</v>
      </c>
      <c r="B217" s="96">
        <f t="shared" ref="B217:M217" si="142">$B$205*$O$19</f>
        <v>22.777777777777775</v>
      </c>
      <c r="C217" s="96">
        <f t="shared" si="142"/>
        <v>22.777777777777775</v>
      </c>
      <c r="D217" s="96">
        <f t="shared" si="142"/>
        <v>22.777777777777775</v>
      </c>
      <c r="E217" s="96">
        <f t="shared" si="142"/>
        <v>22.777777777777775</v>
      </c>
      <c r="F217" s="96">
        <f t="shared" si="142"/>
        <v>22.777777777777775</v>
      </c>
      <c r="G217" s="96">
        <f t="shared" si="142"/>
        <v>22.777777777777775</v>
      </c>
      <c r="H217" s="96">
        <f t="shared" si="142"/>
        <v>22.777777777777775</v>
      </c>
      <c r="I217" s="96">
        <f t="shared" si="142"/>
        <v>22.777777777777775</v>
      </c>
      <c r="J217" s="96">
        <f t="shared" si="142"/>
        <v>22.777777777777775</v>
      </c>
      <c r="K217" s="96">
        <f t="shared" si="142"/>
        <v>22.777777777777775</v>
      </c>
      <c r="L217" s="96">
        <f t="shared" si="142"/>
        <v>22.777777777777775</v>
      </c>
      <c r="M217" s="96">
        <f t="shared" si="142"/>
        <v>22.777777777777775</v>
      </c>
      <c r="N217" s="96">
        <f t="shared" si="133"/>
        <v>273.33333333333331</v>
      </c>
      <c r="O217" s="72"/>
      <c r="P217" s="72"/>
    </row>
    <row r="218" spans="1:16" ht="15.75" customHeight="1" x14ac:dyDescent="0.2">
      <c r="A218" s="67" t="s">
        <v>73</v>
      </c>
      <c r="B218" s="96">
        <f>$B$205*$O$20</f>
        <v>2.2777777777777777</v>
      </c>
      <c r="C218" s="96">
        <f t="shared" ref="C218:M218" si="143">$B$205*$O$20</f>
        <v>2.2777777777777777</v>
      </c>
      <c r="D218" s="96">
        <f t="shared" si="143"/>
        <v>2.2777777777777777</v>
      </c>
      <c r="E218" s="96">
        <f t="shared" si="143"/>
        <v>2.2777777777777777</v>
      </c>
      <c r="F218" s="96">
        <f t="shared" si="143"/>
        <v>2.2777777777777777</v>
      </c>
      <c r="G218" s="96">
        <f t="shared" si="143"/>
        <v>2.2777777777777777</v>
      </c>
      <c r="H218" s="96">
        <f t="shared" si="143"/>
        <v>2.2777777777777777</v>
      </c>
      <c r="I218" s="96">
        <f t="shared" si="143"/>
        <v>2.2777777777777777</v>
      </c>
      <c r="J218" s="96">
        <f t="shared" si="143"/>
        <v>2.2777777777777777</v>
      </c>
      <c r="K218" s="96">
        <f t="shared" si="143"/>
        <v>2.2777777777777777</v>
      </c>
      <c r="L218" s="96">
        <f t="shared" si="143"/>
        <v>2.2777777777777777</v>
      </c>
      <c r="M218" s="96">
        <f t="shared" si="143"/>
        <v>2.2777777777777777</v>
      </c>
      <c r="N218" s="96">
        <f t="shared" si="133"/>
        <v>27.333333333333339</v>
      </c>
      <c r="O218" s="72"/>
      <c r="P218" s="72"/>
    </row>
    <row r="219" spans="1:16" ht="15.75" customHeight="1" x14ac:dyDescent="0.2">
      <c r="A219" s="67" t="s">
        <v>72</v>
      </c>
      <c r="B219" s="96">
        <f>$B$205*$O$21</f>
        <v>2.2777777777777777</v>
      </c>
      <c r="C219" s="96">
        <f t="shared" ref="C219:M219" si="144">$B$205*$O$21</f>
        <v>2.2777777777777777</v>
      </c>
      <c r="D219" s="96">
        <f t="shared" si="144"/>
        <v>2.2777777777777777</v>
      </c>
      <c r="E219" s="96">
        <f t="shared" si="144"/>
        <v>2.2777777777777777</v>
      </c>
      <c r="F219" s="96">
        <f t="shared" si="144"/>
        <v>2.2777777777777777</v>
      </c>
      <c r="G219" s="96">
        <f t="shared" si="144"/>
        <v>2.2777777777777777</v>
      </c>
      <c r="H219" s="96">
        <f t="shared" si="144"/>
        <v>2.2777777777777777</v>
      </c>
      <c r="I219" s="96">
        <f t="shared" si="144"/>
        <v>2.2777777777777777</v>
      </c>
      <c r="J219" s="96">
        <f t="shared" si="144"/>
        <v>2.2777777777777777</v>
      </c>
      <c r="K219" s="96">
        <f t="shared" si="144"/>
        <v>2.2777777777777777</v>
      </c>
      <c r="L219" s="96">
        <f t="shared" si="144"/>
        <v>2.2777777777777777</v>
      </c>
      <c r="M219" s="96">
        <f t="shared" si="144"/>
        <v>2.2777777777777777</v>
      </c>
      <c r="N219" s="96">
        <f t="shared" si="133"/>
        <v>27.333333333333339</v>
      </c>
      <c r="O219" s="72"/>
      <c r="P219" s="72"/>
    </row>
    <row r="220" spans="1:16" ht="15.75" customHeight="1" x14ac:dyDescent="0.2">
      <c r="A220" s="67" t="s">
        <v>74</v>
      </c>
      <c r="B220" s="96">
        <f>$B$205*$O$22</f>
        <v>6.833333333333333</v>
      </c>
      <c r="C220" s="96">
        <f t="shared" ref="C220:M220" si="145">$B$205*$O$22</f>
        <v>6.833333333333333</v>
      </c>
      <c r="D220" s="96">
        <f t="shared" si="145"/>
        <v>6.833333333333333</v>
      </c>
      <c r="E220" s="96">
        <f t="shared" si="145"/>
        <v>6.833333333333333</v>
      </c>
      <c r="F220" s="96">
        <f t="shared" si="145"/>
        <v>6.833333333333333</v>
      </c>
      <c r="G220" s="96">
        <f t="shared" si="145"/>
        <v>6.833333333333333</v>
      </c>
      <c r="H220" s="96">
        <f t="shared" si="145"/>
        <v>6.833333333333333</v>
      </c>
      <c r="I220" s="96">
        <f t="shared" si="145"/>
        <v>6.833333333333333</v>
      </c>
      <c r="J220" s="96">
        <f t="shared" si="145"/>
        <v>6.833333333333333</v>
      </c>
      <c r="K220" s="96">
        <f t="shared" si="145"/>
        <v>6.833333333333333</v>
      </c>
      <c r="L220" s="96">
        <f t="shared" si="145"/>
        <v>6.833333333333333</v>
      </c>
      <c r="M220" s="96">
        <f t="shared" si="145"/>
        <v>6.833333333333333</v>
      </c>
      <c r="N220" s="96">
        <f t="shared" si="133"/>
        <v>82</v>
      </c>
      <c r="O220" s="72"/>
      <c r="P220" s="72"/>
    </row>
    <row r="221" spans="1:16" ht="15.75" customHeight="1" x14ac:dyDescent="0.2">
      <c r="A221" s="67" t="s">
        <v>11</v>
      </c>
      <c r="B221" s="97">
        <f t="shared" ref="B221:M221" si="146">$B$205*$O$23</f>
        <v>41</v>
      </c>
      <c r="C221" s="97">
        <f t="shared" si="146"/>
        <v>41</v>
      </c>
      <c r="D221" s="97">
        <f t="shared" si="146"/>
        <v>41</v>
      </c>
      <c r="E221" s="97">
        <f t="shared" si="146"/>
        <v>41</v>
      </c>
      <c r="F221" s="97">
        <f t="shared" si="146"/>
        <v>41</v>
      </c>
      <c r="G221" s="97">
        <f t="shared" si="146"/>
        <v>41</v>
      </c>
      <c r="H221" s="97">
        <f t="shared" si="146"/>
        <v>41</v>
      </c>
      <c r="I221" s="97">
        <f t="shared" si="146"/>
        <v>41</v>
      </c>
      <c r="J221" s="97">
        <f t="shared" si="146"/>
        <v>41</v>
      </c>
      <c r="K221" s="97">
        <f t="shared" si="146"/>
        <v>41</v>
      </c>
      <c r="L221" s="97">
        <f t="shared" si="146"/>
        <v>41</v>
      </c>
      <c r="M221" s="97">
        <f t="shared" si="146"/>
        <v>41</v>
      </c>
      <c r="N221" s="97">
        <f t="shared" si="133"/>
        <v>492</v>
      </c>
      <c r="O221" s="72"/>
      <c r="P221" s="72"/>
    </row>
    <row r="222" spans="1:16" ht="15.75" customHeight="1" x14ac:dyDescent="0.2">
      <c r="A222" s="66" t="s">
        <v>109</v>
      </c>
      <c r="B222" s="75">
        <f>SUM(B206:B221)</f>
        <v>204.99999999999997</v>
      </c>
      <c r="C222" s="75">
        <f t="shared" ref="C222:M222" si="147">SUM(C206:C221)</f>
        <v>204.99999999999997</v>
      </c>
      <c r="D222" s="75">
        <f t="shared" si="147"/>
        <v>204.99999999999997</v>
      </c>
      <c r="E222" s="75">
        <f t="shared" si="147"/>
        <v>204.99999999999997</v>
      </c>
      <c r="F222" s="75">
        <f t="shared" si="147"/>
        <v>204.99999999999997</v>
      </c>
      <c r="G222" s="75">
        <f t="shared" si="147"/>
        <v>204.99999999999997</v>
      </c>
      <c r="H222" s="75">
        <f t="shared" si="147"/>
        <v>204.99999999999997</v>
      </c>
      <c r="I222" s="75">
        <f t="shared" si="147"/>
        <v>204.99999999999997</v>
      </c>
      <c r="J222" s="75">
        <f t="shared" si="147"/>
        <v>204.99999999999997</v>
      </c>
      <c r="K222" s="75">
        <f t="shared" si="147"/>
        <v>204.99999999999997</v>
      </c>
      <c r="L222" s="75">
        <f t="shared" si="147"/>
        <v>204.99999999999997</v>
      </c>
      <c r="M222" s="75">
        <f t="shared" si="147"/>
        <v>204.99999999999997</v>
      </c>
      <c r="N222" s="75">
        <f t="shared" si="133"/>
        <v>2459.9999999999995</v>
      </c>
      <c r="O222" s="72"/>
      <c r="P222" s="72"/>
    </row>
    <row r="223" spans="1:16" ht="15.75" customHeight="1" x14ac:dyDescent="0.2"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1:16" ht="15.75" customHeight="1" x14ac:dyDescent="0.2">
      <c r="A224" s="66" t="s">
        <v>114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</row>
    <row r="225" spans="1:16" ht="15.75" customHeight="1" x14ac:dyDescent="0.35">
      <c r="A225" s="68" t="s">
        <v>130</v>
      </c>
      <c r="B225" s="69" t="s">
        <v>96</v>
      </c>
      <c r="C225" s="69" t="s">
        <v>97</v>
      </c>
      <c r="D225" s="69" t="s">
        <v>98</v>
      </c>
      <c r="E225" s="69" t="s">
        <v>99</v>
      </c>
      <c r="F225" s="69" t="s">
        <v>100</v>
      </c>
      <c r="G225" s="69" t="s">
        <v>101</v>
      </c>
      <c r="H225" s="69" t="s">
        <v>102</v>
      </c>
      <c r="I225" s="69" t="s">
        <v>103</v>
      </c>
      <c r="J225" s="69" t="s">
        <v>104</v>
      </c>
      <c r="K225" s="69" t="s">
        <v>105</v>
      </c>
      <c r="L225" s="69" t="s">
        <v>106</v>
      </c>
      <c r="M225" s="69" t="s">
        <v>107</v>
      </c>
      <c r="N225" s="70" t="s">
        <v>2</v>
      </c>
      <c r="O225" s="72"/>
      <c r="P225" s="72"/>
    </row>
    <row r="226" spans="1:16" ht="15.75" customHeight="1" x14ac:dyDescent="0.2">
      <c r="A226" s="66" t="s">
        <v>138</v>
      </c>
      <c r="B226" s="96">
        <f t="shared" ref="B226:M226" si="148">B45</f>
        <v>40950</v>
      </c>
      <c r="C226" s="96">
        <f t="shared" si="148"/>
        <v>40950</v>
      </c>
      <c r="D226" s="96">
        <f t="shared" si="148"/>
        <v>40950</v>
      </c>
      <c r="E226" s="96">
        <f t="shared" si="148"/>
        <v>40950</v>
      </c>
      <c r="F226" s="96">
        <f t="shared" si="148"/>
        <v>40950</v>
      </c>
      <c r="G226" s="96">
        <f t="shared" si="148"/>
        <v>40950</v>
      </c>
      <c r="H226" s="96">
        <f t="shared" si="148"/>
        <v>40950</v>
      </c>
      <c r="I226" s="96">
        <f t="shared" si="148"/>
        <v>40950</v>
      </c>
      <c r="J226" s="96">
        <f t="shared" si="148"/>
        <v>40950</v>
      </c>
      <c r="K226" s="96">
        <f t="shared" si="148"/>
        <v>40950</v>
      </c>
      <c r="L226" s="96">
        <f t="shared" si="148"/>
        <v>40950</v>
      </c>
      <c r="M226" s="96">
        <f t="shared" si="148"/>
        <v>40950</v>
      </c>
      <c r="N226" s="96">
        <f>SUM(B226:M226)</f>
        <v>491400</v>
      </c>
      <c r="O226" s="72"/>
      <c r="P226" s="72"/>
    </row>
    <row r="227" spans="1:16" ht="15.75" customHeight="1" x14ac:dyDescent="0.2">
      <c r="A227" s="66" t="s">
        <v>137</v>
      </c>
      <c r="B227" s="97">
        <f t="shared" ref="B227:M227" si="149">(B24*0.0112)*2</f>
        <v>201.6</v>
      </c>
      <c r="C227" s="97">
        <f t="shared" si="149"/>
        <v>201.6</v>
      </c>
      <c r="D227" s="97">
        <f t="shared" si="149"/>
        <v>201.6</v>
      </c>
      <c r="E227" s="97">
        <f t="shared" si="149"/>
        <v>201.6</v>
      </c>
      <c r="F227" s="97">
        <f t="shared" si="149"/>
        <v>201.6</v>
      </c>
      <c r="G227" s="97">
        <f t="shared" si="149"/>
        <v>201.6</v>
      </c>
      <c r="H227" s="97">
        <f t="shared" si="149"/>
        <v>201.6</v>
      </c>
      <c r="I227" s="97">
        <f t="shared" si="149"/>
        <v>201.6</v>
      </c>
      <c r="J227" s="97">
        <f t="shared" si="149"/>
        <v>201.6</v>
      </c>
      <c r="K227" s="97">
        <f t="shared" si="149"/>
        <v>201.6</v>
      </c>
      <c r="L227" s="97">
        <f t="shared" si="149"/>
        <v>201.6</v>
      </c>
      <c r="M227" s="97">
        <f t="shared" si="149"/>
        <v>201.6</v>
      </c>
      <c r="N227" s="97">
        <f t="shared" ref="N227" si="150">SUM(B227:M227)</f>
        <v>2419.1999999999994</v>
      </c>
      <c r="O227" s="72"/>
      <c r="P227" s="72"/>
    </row>
    <row r="228" spans="1:16" ht="15.75" customHeight="1" x14ac:dyDescent="0.2">
      <c r="A228" s="66" t="s">
        <v>139</v>
      </c>
      <c r="B228" s="96">
        <f>SUM(B226:B227)</f>
        <v>41151.599999999999</v>
      </c>
      <c r="C228" s="96">
        <f t="shared" ref="C228:M228" si="151">SUM(C226:C227)</f>
        <v>41151.599999999999</v>
      </c>
      <c r="D228" s="96">
        <f t="shared" si="151"/>
        <v>41151.599999999999</v>
      </c>
      <c r="E228" s="96">
        <f t="shared" si="151"/>
        <v>41151.599999999999</v>
      </c>
      <c r="F228" s="96">
        <f t="shared" si="151"/>
        <v>41151.599999999999</v>
      </c>
      <c r="G228" s="96">
        <f t="shared" si="151"/>
        <v>41151.599999999999</v>
      </c>
      <c r="H228" s="96">
        <f t="shared" si="151"/>
        <v>41151.599999999999</v>
      </c>
      <c r="I228" s="96">
        <f t="shared" si="151"/>
        <v>41151.599999999999</v>
      </c>
      <c r="J228" s="96">
        <f t="shared" si="151"/>
        <v>41151.599999999999</v>
      </c>
      <c r="K228" s="96">
        <f t="shared" si="151"/>
        <v>41151.599999999999</v>
      </c>
      <c r="L228" s="96">
        <f t="shared" si="151"/>
        <v>41151.599999999999</v>
      </c>
      <c r="M228" s="96">
        <f t="shared" si="151"/>
        <v>41151.599999999999</v>
      </c>
      <c r="N228" s="96">
        <f>SUM(N226:N227)</f>
        <v>493819.2</v>
      </c>
      <c r="O228" s="72"/>
      <c r="P228" s="72"/>
    </row>
    <row r="229" spans="1:16" ht="15.75" customHeight="1" x14ac:dyDescent="0.2">
      <c r="A229" s="6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72"/>
      <c r="P229" s="72"/>
    </row>
    <row r="230" spans="1:16" ht="15.75" customHeight="1" x14ac:dyDescent="0.2">
      <c r="A230" s="66" t="s">
        <v>118</v>
      </c>
      <c r="B230" s="96">
        <f t="shared" ref="B230:M230" si="152">B125</f>
        <v>12951.7752</v>
      </c>
      <c r="C230" s="96">
        <f t="shared" si="152"/>
        <v>12951.7752</v>
      </c>
      <c r="D230" s="96">
        <f t="shared" si="152"/>
        <v>12951.7752</v>
      </c>
      <c r="E230" s="96">
        <f t="shared" si="152"/>
        <v>11332.803299999996</v>
      </c>
      <c r="F230" s="96">
        <f t="shared" si="152"/>
        <v>11332.803299999996</v>
      </c>
      <c r="G230" s="96">
        <f t="shared" si="152"/>
        <v>16189.718999999997</v>
      </c>
      <c r="H230" s="96">
        <f t="shared" si="152"/>
        <v>32379.437999999995</v>
      </c>
      <c r="I230" s="96">
        <f t="shared" si="152"/>
        <v>32379.437999999995</v>
      </c>
      <c r="J230" s="96">
        <f t="shared" si="152"/>
        <v>16189.718999999997</v>
      </c>
      <c r="K230" s="96">
        <f t="shared" si="152"/>
        <v>11332.803299999996</v>
      </c>
      <c r="L230" s="96">
        <f t="shared" si="152"/>
        <v>11332.803299999996</v>
      </c>
      <c r="M230" s="96">
        <f t="shared" si="152"/>
        <v>12951.7752</v>
      </c>
      <c r="N230" s="96">
        <f>SUM(B230:M230)</f>
        <v>194276.628</v>
      </c>
      <c r="O230" s="72"/>
      <c r="P230" s="72"/>
    </row>
    <row r="231" spans="1:16" ht="15.75" customHeight="1" x14ac:dyDescent="0.2">
      <c r="A231" s="66" t="s">
        <v>120</v>
      </c>
      <c r="B231" s="97">
        <f>B184</f>
        <v>921.5</v>
      </c>
      <c r="C231" s="97">
        <f t="shared" ref="C231:M231" si="153">C184</f>
        <v>5797.96875</v>
      </c>
      <c r="D231" s="97">
        <f t="shared" si="153"/>
        <v>6179.15625</v>
      </c>
      <c r="E231" s="97">
        <f t="shared" si="153"/>
        <v>19104.5</v>
      </c>
      <c r="F231" s="97">
        <f t="shared" si="153"/>
        <v>15323.5</v>
      </c>
      <c r="G231" s="97">
        <f t="shared" si="153"/>
        <v>14373.499999999998</v>
      </c>
      <c r="H231" s="97">
        <f t="shared" si="153"/>
        <v>2104.25</v>
      </c>
      <c r="I231" s="97">
        <f t="shared" si="153"/>
        <v>11347.75</v>
      </c>
      <c r="J231" s="97">
        <f t="shared" si="153"/>
        <v>4303.5</v>
      </c>
      <c r="K231" s="97">
        <f t="shared" si="153"/>
        <v>0</v>
      </c>
      <c r="L231" s="97">
        <f t="shared" si="153"/>
        <v>0</v>
      </c>
      <c r="M231" s="97">
        <f t="shared" si="153"/>
        <v>0</v>
      </c>
      <c r="N231" s="97">
        <f>SUM(B231:M231)</f>
        <v>79455.625</v>
      </c>
      <c r="O231" s="72"/>
      <c r="P231" s="72"/>
    </row>
    <row r="232" spans="1:16" ht="15.75" customHeight="1" x14ac:dyDescent="0.2">
      <c r="A232" s="66" t="s">
        <v>140</v>
      </c>
      <c r="B232" s="96">
        <f>SUM(B230:B231)</f>
        <v>13873.2752</v>
      </c>
      <c r="C232" s="96">
        <f t="shared" ref="C232:N232" si="154">SUM(C230:C231)</f>
        <v>18749.74395</v>
      </c>
      <c r="D232" s="96">
        <f t="shared" si="154"/>
        <v>19130.93145</v>
      </c>
      <c r="E232" s="96">
        <f t="shared" si="154"/>
        <v>30437.303299999996</v>
      </c>
      <c r="F232" s="96">
        <f t="shared" si="154"/>
        <v>26656.303299999996</v>
      </c>
      <c r="G232" s="96">
        <f t="shared" si="154"/>
        <v>30563.218999999997</v>
      </c>
      <c r="H232" s="96">
        <f t="shared" si="154"/>
        <v>34483.687999999995</v>
      </c>
      <c r="I232" s="96">
        <f t="shared" si="154"/>
        <v>43727.187999999995</v>
      </c>
      <c r="J232" s="96">
        <f t="shared" si="154"/>
        <v>20493.218999999997</v>
      </c>
      <c r="K232" s="96">
        <f t="shared" si="154"/>
        <v>11332.803299999996</v>
      </c>
      <c r="L232" s="96">
        <f t="shared" si="154"/>
        <v>11332.803299999996</v>
      </c>
      <c r="M232" s="96">
        <f t="shared" si="154"/>
        <v>12951.7752</v>
      </c>
      <c r="N232" s="96">
        <f t="shared" si="154"/>
        <v>273732.25300000003</v>
      </c>
      <c r="O232" s="72"/>
      <c r="P232" s="72"/>
    </row>
    <row r="233" spans="1:16" ht="15.75" customHeight="1" x14ac:dyDescent="0.2">
      <c r="A233" s="6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72"/>
      <c r="P233" s="72"/>
    </row>
    <row r="234" spans="1:16" ht="15.75" customHeight="1" x14ac:dyDescent="0.2">
      <c r="A234" s="66" t="s">
        <v>141</v>
      </c>
      <c r="B234" s="96">
        <f>B85</f>
        <v>819</v>
      </c>
      <c r="C234" s="96">
        <f t="shared" ref="C234:M234" si="155">C85</f>
        <v>819</v>
      </c>
      <c r="D234" s="96">
        <f t="shared" si="155"/>
        <v>819</v>
      </c>
      <c r="E234" s="96">
        <f t="shared" si="155"/>
        <v>819</v>
      </c>
      <c r="F234" s="96">
        <f t="shared" si="155"/>
        <v>819</v>
      </c>
      <c r="G234" s="96">
        <f t="shared" si="155"/>
        <v>819</v>
      </c>
      <c r="H234" s="96">
        <f t="shared" si="155"/>
        <v>819</v>
      </c>
      <c r="I234" s="96">
        <f t="shared" si="155"/>
        <v>819</v>
      </c>
      <c r="J234" s="96">
        <f t="shared" si="155"/>
        <v>819</v>
      </c>
      <c r="K234" s="96">
        <f t="shared" si="155"/>
        <v>819</v>
      </c>
      <c r="L234" s="96">
        <f t="shared" si="155"/>
        <v>819</v>
      </c>
      <c r="M234" s="96">
        <f t="shared" si="155"/>
        <v>819</v>
      </c>
      <c r="N234" s="96">
        <f>SUM(B234:M234)</f>
        <v>9828</v>
      </c>
      <c r="O234" s="72"/>
      <c r="P234" s="72"/>
    </row>
    <row r="235" spans="1:16" ht="15.75" customHeight="1" x14ac:dyDescent="0.2">
      <c r="A235" s="66" t="s">
        <v>144</v>
      </c>
      <c r="B235" s="96">
        <f>B203+B144</f>
        <v>336.30610940170936</v>
      </c>
      <c r="C235" s="96">
        <f t="shared" ref="C235:M235" si="156">C203+C144</f>
        <v>455.47153141025632</v>
      </c>
      <c r="D235" s="96">
        <f t="shared" si="156"/>
        <v>472.48018525641021</v>
      </c>
      <c r="E235" s="96">
        <f t="shared" si="156"/>
        <v>727.32407948717946</v>
      </c>
      <c r="F235" s="96">
        <f t="shared" si="156"/>
        <v>573.89055384615381</v>
      </c>
      <c r="G235" s="96">
        <f t="shared" si="156"/>
        <v>581.62087435897433</v>
      </c>
      <c r="H235" s="96">
        <f t="shared" si="156"/>
        <v>353.81574615384608</v>
      </c>
      <c r="I235" s="96">
        <f t="shared" si="156"/>
        <v>528.19900470085463</v>
      </c>
      <c r="J235" s="96">
        <f t="shared" si="156"/>
        <v>391.58859871794868</v>
      </c>
      <c r="K235" s="96">
        <f t="shared" si="156"/>
        <v>313.34939999999995</v>
      </c>
      <c r="L235" s="96">
        <f t="shared" si="156"/>
        <v>313.34939999999995</v>
      </c>
      <c r="M235" s="96">
        <f t="shared" si="156"/>
        <v>313.34939999999995</v>
      </c>
      <c r="N235" s="96">
        <f>SUM(B235:M235)</f>
        <v>5360.7448833333328</v>
      </c>
      <c r="O235" s="72"/>
      <c r="P235" s="72"/>
    </row>
    <row r="236" spans="1:16" ht="15.75" customHeight="1" x14ac:dyDescent="0.2">
      <c r="A236" s="66" t="s">
        <v>58</v>
      </c>
      <c r="B236" s="96">
        <f>(SUMMARY!$F$23+SUMMARY!$F$24)/12</f>
        <v>5272.6666666666661</v>
      </c>
      <c r="C236" s="96">
        <f>(SUMMARY!$F$23+SUMMARY!$F$24)/12</f>
        <v>5272.6666666666661</v>
      </c>
      <c r="D236" s="96">
        <f>(SUMMARY!$F$23+SUMMARY!$F$24)/12</f>
        <v>5272.6666666666661</v>
      </c>
      <c r="E236" s="96">
        <f>(SUMMARY!$F$23+SUMMARY!$F$24)/12</f>
        <v>5272.6666666666661</v>
      </c>
      <c r="F236" s="96">
        <f>(SUMMARY!$F$23+SUMMARY!$F$24)/12</f>
        <v>5272.6666666666661</v>
      </c>
      <c r="G236" s="96">
        <f>(SUMMARY!$F$23+SUMMARY!$F$24)/12</f>
        <v>5272.6666666666661</v>
      </c>
      <c r="H236" s="96">
        <f>(SUMMARY!$F$23+SUMMARY!$F$24)/12</f>
        <v>5272.6666666666661</v>
      </c>
      <c r="I236" s="96">
        <f>(SUMMARY!$F$23+SUMMARY!$F$24)/12</f>
        <v>5272.6666666666661</v>
      </c>
      <c r="J236" s="96">
        <f>(SUMMARY!$F$23+SUMMARY!$F$24)/12</f>
        <v>5272.6666666666661</v>
      </c>
      <c r="K236" s="96">
        <f>(SUMMARY!$F$23+SUMMARY!$F$24)/12</f>
        <v>5272.6666666666661</v>
      </c>
      <c r="L236" s="96">
        <f>(SUMMARY!$F$23+SUMMARY!$F$24)/12</f>
        <v>5272.6666666666661</v>
      </c>
      <c r="M236" s="96">
        <f>(SUMMARY!$F$23+SUMMARY!$F$24)/12</f>
        <v>5272.6666666666661</v>
      </c>
      <c r="N236" s="96">
        <f t="shared" ref="N236:N237" si="157">SUM(B236:M236)</f>
        <v>63271.999999999978</v>
      </c>
      <c r="O236" s="72"/>
      <c r="P236" s="72"/>
    </row>
    <row r="237" spans="1:16" ht="18" customHeight="1" x14ac:dyDescent="0.2">
      <c r="A237" s="66" t="s">
        <v>131</v>
      </c>
      <c r="B237" s="103">
        <f t="shared" ref="B237:M237" si="158">B222</f>
        <v>204.99999999999997</v>
      </c>
      <c r="C237" s="103">
        <f t="shared" si="158"/>
        <v>204.99999999999997</v>
      </c>
      <c r="D237" s="103">
        <f t="shared" si="158"/>
        <v>204.99999999999997</v>
      </c>
      <c r="E237" s="103">
        <f t="shared" si="158"/>
        <v>204.99999999999997</v>
      </c>
      <c r="F237" s="103">
        <f t="shared" si="158"/>
        <v>204.99999999999997</v>
      </c>
      <c r="G237" s="103">
        <f t="shared" si="158"/>
        <v>204.99999999999997</v>
      </c>
      <c r="H237" s="103">
        <f t="shared" si="158"/>
        <v>204.99999999999997</v>
      </c>
      <c r="I237" s="103">
        <f t="shared" si="158"/>
        <v>204.99999999999997</v>
      </c>
      <c r="J237" s="103">
        <f t="shared" si="158"/>
        <v>204.99999999999997</v>
      </c>
      <c r="K237" s="103">
        <f t="shared" si="158"/>
        <v>204.99999999999997</v>
      </c>
      <c r="L237" s="103">
        <f t="shared" si="158"/>
        <v>204.99999999999997</v>
      </c>
      <c r="M237" s="103">
        <f t="shared" si="158"/>
        <v>204.99999999999997</v>
      </c>
      <c r="N237" s="97">
        <f t="shared" si="157"/>
        <v>2459.9999999999995</v>
      </c>
      <c r="O237" s="72"/>
      <c r="P237" s="72"/>
    </row>
    <row r="238" spans="1:16" ht="18" customHeight="1" x14ac:dyDescent="0.2">
      <c r="B238" s="104">
        <f t="shared" ref="B238:M238" si="159">B228+B232+B234+B235+B236+B237</f>
        <v>61657.847976068369</v>
      </c>
      <c r="C238" s="104">
        <f t="shared" si="159"/>
        <v>66653.482148076917</v>
      </c>
      <c r="D238" s="104">
        <f t="shared" si="159"/>
        <v>67051.678301923079</v>
      </c>
      <c r="E238" s="104">
        <f t="shared" si="159"/>
        <v>78612.894046153844</v>
      </c>
      <c r="F238" s="104">
        <f t="shared" si="159"/>
        <v>74678.460520512817</v>
      </c>
      <c r="G238" s="104">
        <f t="shared" si="159"/>
        <v>78593.106541025641</v>
      </c>
      <c r="H238" s="104">
        <f t="shared" si="159"/>
        <v>82285.770412820522</v>
      </c>
      <c r="I238" s="104">
        <f t="shared" si="159"/>
        <v>91703.65367136753</v>
      </c>
      <c r="J238" s="104">
        <f t="shared" si="159"/>
        <v>68333.07426538461</v>
      </c>
      <c r="K238" s="104">
        <f t="shared" si="159"/>
        <v>59094.419366666654</v>
      </c>
      <c r="L238" s="104">
        <f t="shared" si="159"/>
        <v>59094.419366666654</v>
      </c>
      <c r="M238" s="104">
        <f t="shared" si="159"/>
        <v>60713.391266666658</v>
      </c>
      <c r="N238" s="104">
        <f>N228+N232+N234+N235+N236+N237</f>
        <v>848472.19788333331</v>
      </c>
    </row>
    <row r="239" spans="1:16" ht="18" customHeight="1" x14ac:dyDescent="0.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</row>
    <row r="240" spans="1:16" ht="18" customHeight="1" x14ac:dyDescent="0.2"/>
    <row r="241" ht="18" customHeight="1" x14ac:dyDescent="0.2"/>
    <row r="242" ht="18" customHeight="1" x14ac:dyDescent="0.2"/>
    <row r="243" ht="18" customHeight="1" x14ac:dyDescent="0.2"/>
  </sheetData>
  <phoneticPr fontId="0" type="noConversion"/>
  <pageMargins left="0.25" right="0.25" top="0.5" bottom="0.5" header="0.5" footer="0.5"/>
  <pageSetup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P144"/>
  <sheetViews>
    <sheetView workbookViewId="0">
      <pane xSplit="1" ySplit="4" topLeftCell="B5" activePane="bottomRight" state="frozen"/>
      <selection activeCell="H24" sqref="H24"/>
      <selection pane="topRight" activeCell="H24" sqref="H24"/>
      <selection pane="bottomLeft" activeCell="H24" sqref="H24"/>
      <selection pane="bottomRight" activeCell="B129" sqref="B129"/>
    </sheetView>
  </sheetViews>
  <sheetFormatPr defaultRowHeight="12.75" x14ac:dyDescent="0.2"/>
  <cols>
    <col min="1" max="1" width="30.7109375" customWidth="1"/>
    <col min="2" max="11" width="11.28515625" bestFit="1" customWidth="1"/>
    <col min="14" max="14" width="12.85546875" bestFit="1" customWidth="1"/>
  </cols>
  <sheetData>
    <row r="1" spans="1:16" ht="15.75" x14ac:dyDescent="0.25">
      <c r="A1" s="76" t="s">
        <v>114</v>
      </c>
    </row>
    <row r="2" spans="1:16" ht="15.75" x14ac:dyDescent="0.25">
      <c r="A2" s="76" t="s">
        <v>113</v>
      </c>
    </row>
    <row r="4" spans="1:16" x14ac:dyDescent="0.2">
      <c r="B4" s="77" t="s">
        <v>96</v>
      </c>
      <c r="C4" s="77" t="s">
        <v>97</v>
      </c>
      <c r="D4" s="77" t="s">
        <v>98</v>
      </c>
      <c r="E4" s="77" t="s">
        <v>99</v>
      </c>
      <c r="F4" s="77" t="s">
        <v>100</v>
      </c>
      <c r="G4" s="77" t="s">
        <v>101</v>
      </c>
      <c r="H4" s="77" t="s">
        <v>102</v>
      </c>
      <c r="I4" s="77" t="s">
        <v>103</v>
      </c>
      <c r="J4" s="77" t="s">
        <v>104</v>
      </c>
      <c r="K4" s="77" t="s">
        <v>105</v>
      </c>
      <c r="L4" s="77" t="s">
        <v>106</v>
      </c>
      <c r="M4" s="77" t="s">
        <v>107</v>
      </c>
      <c r="N4" s="77" t="s">
        <v>2</v>
      </c>
    </row>
    <row r="5" spans="1:16" x14ac:dyDescent="0.2">
      <c r="A5" s="78" t="s">
        <v>116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ht="12.75" customHeight="1" x14ac:dyDescent="0.2">
      <c r="A6" s="67" t="s">
        <v>145</v>
      </c>
      <c r="B6" s="105">
        <f>'[4]SPA-AUGUSTA'!$R$8</f>
        <v>48000</v>
      </c>
      <c r="C6" s="105">
        <f>'[4]SPA-AUGUSTA'!$R$9</f>
        <v>48000</v>
      </c>
      <c r="D6" s="105">
        <f>'[4]SPA-AUGUSTA'!$R$10</f>
        <v>48000</v>
      </c>
      <c r="E6" s="105">
        <f>'[4]SPA-AUGUSTA'!$R$11</f>
        <v>42000</v>
      </c>
      <c r="F6" s="105">
        <f>'[4]SPA-AUGUSTA'!$R$12</f>
        <v>42000</v>
      </c>
      <c r="G6" s="105">
        <f>'[4]SPA-AUGUSTA'!$R$13</f>
        <v>59000</v>
      </c>
      <c r="H6" s="105">
        <f>'[4]SPA-AUGUSTA'!$R$14</f>
        <v>120000</v>
      </c>
      <c r="I6" s="105">
        <f>'[4]SPA-AUGUSTA'!$R$15</f>
        <v>118000</v>
      </c>
      <c r="J6" s="105">
        <f>'[4]SPA-AUGUSTA'!$R$16</f>
        <v>60000</v>
      </c>
      <c r="K6" s="105">
        <f>'[4]SPA-AUGUSTA'!$R$17</f>
        <v>42000</v>
      </c>
      <c r="L6" s="105">
        <f>'[4]SPA-AUGUSTA'!$R$18</f>
        <v>45000</v>
      </c>
      <c r="M6" s="105">
        <f>'[4]SPA-AUGUSTA'!$R$19</f>
        <v>48000</v>
      </c>
      <c r="N6" s="72">
        <f>SUM(B6:M6)</f>
        <v>720000</v>
      </c>
      <c r="O6" s="114"/>
      <c r="P6" s="115"/>
    </row>
    <row r="7" spans="1:16" ht="12.75" customHeight="1" x14ac:dyDescent="0.2">
      <c r="A7" s="67" t="s">
        <v>158</v>
      </c>
      <c r="B7" s="73">
        <f>'[5]SPA-AUGUSTA'!$R$8</f>
        <v>48000</v>
      </c>
      <c r="C7" s="73">
        <f>'[5]SPA-AUGUSTA'!$R$9</f>
        <v>48000</v>
      </c>
      <c r="D7" s="73">
        <f>'[5]SPA-AUGUSTA'!$R$10</f>
        <v>48000</v>
      </c>
      <c r="E7" s="73">
        <f>'[5]SPA-AUGUSTA'!$R$11</f>
        <v>42000</v>
      </c>
      <c r="F7" s="73">
        <f>'[5]SPA-AUGUSTA'!$R$12</f>
        <v>42000</v>
      </c>
      <c r="G7" s="73">
        <f>'[5]SPA-AUGUSTA'!$R$13</f>
        <v>60000</v>
      </c>
      <c r="H7" s="73">
        <f>'[5]SPA-AUGUSTA'!$R$14</f>
        <v>120000</v>
      </c>
      <c r="I7" s="73">
        <f>'[5]SPA-AUGUSTA'!$R$15</f>
        <v>120000</v>
      </c>
      <c r="J7" s="73">
        <f>'[5]SPA-AUGUSTA'!$R$16</f>
        <v>60000</v>
      </c>
      <c r="K7" s="73">
        <f>'[5]SPA-AUGUSTA'!$R$17</f>
        <v>42000</v>
      </c>
      <c r="L7" s="73">
        <f>'[5]SPA-AUGUSTA'!$R$18</f>
        <v>42000</v>
      </c>
      <c r="M7" s="73">
        <f>'[5]SPA-AUGUSTA'!$R$19</f>
        <v>48000</v>
      </c>
      <c r="N7" s="73">
        <f t="shared" ref="N7:N8" si="0">SUM(B7:M7)</f>
        <v>720000</v>
      </c>
    </row>
    <row r="8" spans="1:16" ht="12.75" customHeight="1" x14ac:dyDescent="0.2">
      <c r="A8" s="67" t="s">
        <v>115</v>
      </c>
      <c r="B8" s="72">
        <f>SUM(B6:B7)/2</f>
        <v>48000</v>
      </c>
      <c r="C8" s="72">
        <f t="shared" ref="C8:M8" si="1">SUM(C6:C7)/2</f>
        <v>48000</v>
      </c>
      <c r="D8" s="72">
        <f t="shared" si="1"/>
        <v>48000</v>
      </c>
      <c r="E8" s="72">
        <f t="shared" si="1"/>
        <v>42000</v>
      </c>
      <c r="F8" s="72">
        <f t="shared" si="1"/>
        <v>42000</v>
      </c>
      <c r="G8" s="72">
        <f t="shared" si="1"/>
        <v>59500</v>
      </c>
      <c r="H8" s="72">
        <f t="shared" si="1"/>
        <v>120000</v>
      </c>
      <c r="I8" s="72">
        <f t="shared" si="1"/>
        <v>119000</v>
      </c>
      <c r="J8" s="72">
        <f t="shared" si="1"/>
        <v>60000</v>
      </c>
      <c r="K8" s="72">
        <f t="shared" si="1"/>
        <v>42000</v>
      </c>
      <c r="L8" s="72">
        <f t="shared" si="1"/>
        <v>43500</v>
      </c>
      <c r="M8" s="72">
        <f t="shared" si="1"/>
        <v>48000</v>
      </c>
      <c r="N8" s="72">
        <f t="shared" si="0"/>
        <v>720000</v>
      </c>
    </row>
    <row r="9" spans="1:16" ht="12.75" customHeight="1" x14ac:dyDescent="0.2">
      <c r="A9" s="67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6" ht="12.75" customHeight="1" x14ac:dyDescent="0.2">
      <c r="A10" s="67" t="s">
        <v>146</v>
      </c>
      <c r="B10" s="72">
        <f>((B6+B34+B38)/3)/6</f>
        <v>8000</v>
      </c>
      <c r="C10" s="72">
        <f>((C6+C34+C38)/3)/6</f>
        <v>8000</v>
      </c>
      <c r="D10" s="72">
        <f>((D6+D34+D38)/3)/6</f>
        <v>8000</v>
      </c>
      <c r="E10" s="72">
        <f>((E6+E34+E38)/3)/6</f>
        <v>7000</v>
      </c>
      <c r="F10" s="72">
        <f>((F6+F34+F38)/3)/6</f>
        <v>7000</v>
      </c>
      <c r="G10" s="72">
        <f>'[4]SPA-BALDWIN'!$R$13</f>
        <v>16800</v>
      </c>
      <c r="H10" s="72">
        <f>'[4]SPA-BALDWIN'!$R$14</f>
        <v>21000</v>
      </c>
      <c r="I10" s="72">
        <f>'[4]SPA-BALDWIN'!$R$15</f>
        <v>14700</v>
      </c>
      <c r="J10" s="72">
        <f>'[4]SPA-BALDWIN'!$R$16</f>
        <v>12900</v>
      </c>
      <c r="K10" s="72">
        <f>'[4]SPA-BALDWIN'!$R$17</f>
        <v>13600</v>
      </c>
      <c r="L10" s="72">
        <f>'[4]SPA-BALDWIN'!$R$18</f>
        <v>12600</v>
      </c>
      <c r="M10" s="72">
        <f>'[4]SPA-BALDWIN'!$R$19</f>
        <v>38000</v>
      </c>
      <c r="N10" s="72">
        <f>SUM(B10:M10)</f>
        <v>167600</v>
      </c>
    </row>
    <row r="11" spans="1:16" ht="12.75" customHeight="1" x14ac:dyDescent="0.2">
      <c r="A11" s="67" t="s">
        <v>159</v>
      </c>
      <c r="B11" s="73">
        <f>'[5]SPA-BALDWIN'!$R$8</f>
        <v>38000</v>
      </c>
      <c r="C11" s="73">
        <f>'[5]SPA-BALDWIN'!$R$9</f>
        <v>15900</v>
      </c>
      <c r="D11" s="73">
        <f>'[5]SPA-BALDWIN'!$R$10</f>
        <v>14500</v>
      </c>
      <c r="E11" s="73">
        <f>'[5]SPA-BALDWIN'!$R$11</f>
        <v>15000</v>
      </c>
      <c r="F11" s="73">
        <f>'[5]SPA-BALDWIN'!$R$12</f>
        <v>15000</v>
      </c>
      <c r="G11" s="73">
        <f>'[5]SPA-BALDWIN'!$R$13</f>
        <v>12000</v>
      </c>
      <c r="H11" s="73">
        <f>'[5]SPA-BALDWIN'!$R$14</f>
        <v>21400</v>
      </c>
      <c r="I11" s="73">
        <f>'[5]SPA-BALDWIN'!$R$15</f>
        <v>25000</v>
      </c>
      <c r="J11" s="73">
        <f>'[5]SPA-BALDWIN'!$R$16</f>
        <v>12000</v>
      </c>
      <c r="K11" s="73">
        <f>'[5]SPA-BALDWIN'!$R$17</f>
        <v>12000</v>
      </c>
      <c r="L11" s="73">
        <f>'[5]SPA-BALDWIN'!$R$18</f>
        <v>17800</v>
      </c>
      <c r="M11" s="73">
        <f>'[5]SPA-BALDWIN'!$R$19</f>
        <v>37200</v>
      </c>
      <c r="N11" s="73">
        <f>SUM(B11:M11)</f>
        <v>235800</v>
      </c>
    </row>
    <row r="12" spans="1:16" ht="12.75" customHeight="1" x14ac:dyDescent="0.2">
      <c r="A12" s="67" t="s">
        <v>115</v>
      </c>
      <c r="B12" s="72">
        <f>SUM(B10:B11)/2</f>
        <v>23000</v>
      </c>
      <c r="C12" s="72">
        <f t="shared" ref="C12:N12" si="2">SUM(C10:C11)/2</f>
        <v>11950</v>
      </c>
      <c r="D12" s="72">
        <f t="shared" si="2"/>
        <v>11250</v>
      </c>
      <c r="E12" s="72">
        <f t="shared" si="2"/>
        <v>11000</v>
      </c>
      <c r="F12" s="72">
        <f t="shared" si="2"/>
        <v>11000</v>
      </c>
      <c r="G12" s="72">
        <f t="shared" si="2"/>
        <v>14400</v>
      </c>
      <c r="H12" s="72">
        <f t="shared" si="2"/>
        <v>21200</v>
      </c>
      <c r="I12" s="72">
        <f t="shared" si="2"/>
        <v>19850</v>
      </c>
      <c r="J12" s="72">
        <f t="shared" si="2"/>
        <v>12450</v>
      </c>
      <c r="K12" s="72">
        <f t="shared" si="2"/>
        <v>12800</v>
      </c>
      <c r="L12" s="72">
        <f t="shared" si="2"/>
        <v>15200</v>
      </c>
      <c r="M12" s="72">
        <f t="shared" si="2"/>
        <v>37600</v>
      </c>
      <c r="N12" s="72">
        <f t="shared" si="2"/>
        <v>201700</v>
      </c>
    </row>
    <row r="13" spans="1:16" ht="12.75" customHeight="1" x14ac:dyDescent="0.2">
      <c r="A13" s="67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6" ht="12.75" customHeight="1" x14ac:dyDescent="0.2">
      <c r="A14" s="67" t="s">
        <v>147</v>
      </c>
      <c r="B14" s="105">
        <f>'[4]SPA-CHANUTE'!$R$8</f>
        <v>120000</v>
      </c>
      <c r="C14" s="105">
        <f>'[4]SPA-CHANUTE'!$R$9</f>
        <v>120000</v>
      </c>
      <c r="D14" s="105">
        <f>'[4]SPA-CHANUTE'!$R$10</f>
        <v>120000</v>
      </c>
      <c r="E14" s="105">
        <f>'[4]SPA-CHANUTE'!$R$11</f>
        <v>105000</v>
      </c>
      <c r="F14" s="105">
        <f>'[4]SPA-CHANUTE'!$R$12</f>
        <v>106000</v>
      </c>
      <c r="G14" s="105">
        <f>'[4]SPA-CHANUTE'!$R$13</f>
        <v>149000</v>
      </c>
      <c r="H14" s="105">
        <f>'[4]SPA-CHANUTE'!$R$14</f>
        <v>299000</v>
      </c>
      <c r="I14" s="105">
        <f>'[4]SPA-CHANUTE'!$R$15</f>
        <v>296000</v>
      </c>
      <c r="J14" s="105">
        <f>'[4]SPA-CHANUTE'!$R$16</f>
        <v>149000</v>
      </c>
      <c r="K14" s="105">
        <f>'[4]SPA-CHANUTE'!$R$17</f>
        <v>105000</v>
      </c>
      <c r="L14" s="105">
        <f>'[4]SPA-CHANUTE'!$R$18</f>
        <v>112000</v>
      </c>
      <c r="M14" s="105">
        <f>'[4]SPA-CHANUTE'!$R$19</f>
        <v>120000</v>
      </c>
      <c r="N14" s="72">
        <f>SUM(B14:M14)</f>
        <v>1801000</v>
      </c>
    </row>
    <row r="15" spans="1:16" ht="12.75" customHeight="1" x14ac:dyDescent="0.2">
      <c r="A15" s="67" t="s">
        <v>160</v>
      </c>
      <c r="B15" s="73">
        <f>'[5]SPA-CHANUTE'!$R$8</f>
        <v>120000</v>
      </c>
      <c r="C15" s="73">
        <f>'[5]SPA-CHANUTE'!$R$9</f>
        <v>120000</v>
      </c>
      <c r="D15" s="73">
        <f>'[5]SPA-CHANUTE'!$R$10</f>
        <v>120000</v>
      </c>
      <c r="E15" s="73">
        <f>'[5]SPA-CHANUTE'!$R$11</f>
        <v>105000</v>
      </c>
      <c r="F15" s="73">
        <f>'[5]SPA-CHANUTE'!$R$12</f>
        <v>105000</v>
      </c>
      <c r="G15" s="73">
        <f>'[5]SPA-CHANUTE'!$R$13</f>
        <v>150000</v>
      </c>
      <c r="H15" s="73">
        <f>'[5]SPA-CHANUTE'!$R$14</f>
        <v>300000</v>
      </c>
      <c r="I15" s="73">
        <f>'[5]SPA-CHANUTE'!$R$15</f>
        <v>299000</v>
      </c>
      <c r="J15" s="73">
        <f>'[5]SPA-CHANUTE'!$R$16</f>
        <v>150000</v>
      </c>
      <c r="K15" s="73">
        <f>'[5]SPA-CHANUTE'!$R$17</f>
        <v>105000</v>
      </c>
      <c r="L15" s="73">
        <f>'[5]SPA-CHANUTE'!$R$18</f>
        <v>105000</v>
      </c>
      <c r="M15" s="73">
        <f>'[5]SPA-CHANUTE'!$R$19</f>
        <v>120000</v>
      </c>
      <c r="N15" s="73">
        <f t="shared" ref="N15:N16" si="3">SUM(B15:M15)</f>
        <v>1799000</v>
      </c>
    </row>
    <row r="16" spans="1:16" ht="12.75" customHeight="1" x14ac:dyDescent="0.2">
      <c r="A16" s="67" t="s">
        <v>115</v>
      </c>
      <c r="B16" s="72">
        <f>SUM(B14:B15)/2</f>
        <v>120000</v>
      </c>
      <c r="C16" s="72">
        <f t="shared" ref="C16:M16" si="4">SUM(C14:C15)/2</f>
        <v>120000</v>
      </c>
      <c r="D16" s="72">
        <f t="shared" si="4"/>
        <v>120000</v>
      </c>
      <c r="E16" s="72">
        <f t="shared" si="4"/>
        <v>105000</v>
      </c>
      <c r="F16" s="72">
        <f t="shared" si="4"/>
        <v>105500</v>
      </c>
      <c r="G16" s="72">
        <f t="shared" si="4"/>
        <v>149500</v>
      </c>
      <c r="H16" s="72">
        <f t="shared" si="4"/>
        <v>299500</v>
      </c>
      <c r="I16" s="72">
        <f t="shared" si="4"/>
        <v>297500</v>
      </c>
      <c r="J16" s="72">
        <f t="shared" si="4"/>
        <v>149500</v>
      </c>
      <c r="K16" s="72">
        <f t="shared" si="4"/>
        <v>105000</v>
      </c>
      <c r="L16" s="72">
        <f t="shared" si="4"/>
        <v>108500</v>
      </c>
      <c r="M16" s="72">
        <f t="shared" si="4"/>
        <v>120000</v>
      </c>
      <c r="N16" s="72">
        <f t="shared" si="3"/>
        <v>1800000</v>
      </c>
    </row>
    <row r="17" spans="1:14" ht="12.75" customHeight="1" x14ac:dyDescent="0.2">
      <c r="A17" s="67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12.75" customHeight="1" x14ac:dyDescent="0.2">
      <c r="A18" s="67" t="s">
        <v>148</v>
      </c>
      <c r="B18" s="105">
        <f>'[4]SPA-GARNETT'!$R$8</f>
        <v>35500</v>
      </c>
      <c r="C18" s="105">
        <f>'[4]SPA-GARNETT'!$R$9</f>
        <v>27000</v>
      </c>
      <c r="D18" s="105">
        <f>'[4]SPA-GARNETT'!$R$10</f>
        <v>38500</v>
      </c>
      <c r="E18" s="105">
        <f>'[4]SPA-GARNETT'!$R$11</f>
        <v>75500</v>
      </c>
      <c r="F18" s="105">
        <f>'[4]SPA-GARNETT'!$R$12</f>
        <v>64000</v>
      </c>
      <c r="G18" s="105">
        <f>'[4]SPA-GARNETT'!$R$13</f>
        <v>33600</v>
      </c>
      <c r="H18" s="105">
        <f>'[4]SPA-GARNETT'!$R$14</f>
        <v>42000</v>
      </c>
      <c r="I18" s="105">
        <f>'[4]SPA-GARNETT'!$R$15</f>
        <v>29400</v>
      </c>
      <c r="J18" s="105">
        <f>'[4]SPA-GARNETT'!$R$16</f>
        <v>25800</v>
      </c>
      <c r="K18" s="105">
        <f>'[4]SPA-GARNETT'!$R$17</f>
        <v>27200</v>
      </c>
      <c r="L18" s="105">
        <f>'[4]SPA-GARNETT'!$R$18</f>
        <v>25200</v>
      </c>
      <c r="M18" s="105">
        <f>'[4]SPA-GARNETT'!$R$19</f>
        <v>76000</v>
      </c>
      <c r="N18" s="72">
        <f>SUM(B18:M18)</f>
        <v>499700</v>
      </c>
    </row>
    <row r="19" spans="1:14" ht="12.75" customHeight="1" x14ac:dyDescent="0.2">
      <c r="A19" s="67" t="s">
        <v>161</v>
      </c>
      <c r="B19" s="73">
        <f>'[5]SPA-GARNETT'!$R$8</f>
        <v>76000</v>
      </c>
      <c r="C19" s="73">
        <f>'[5]SPA-GARNETT'!$R$9</f>
        <v>31800</v>
      </c>
      <c r="D19" s="73">
        <f>'[5]SPA-GARNETT'!$R$10</f>
        <v>29000</v>
      </c>
      <c r="E19" s="73">
        <f>'[5]SPA-GARNETT'!$R$11</f>
        <v>30000</v>
      </c>
      <c r="F19" s="73">
        <f>'[5]SPA-GARNETT'!$R$12</f>
        <v>30000</v>
      </c>
      <c r="G19" s="73">
        <f>'[5]SPA-GARNETT'!$R$13</f>
        <v>24000</v>
      </c>
      <c r="H19" s="73">
        <f>'[5]SPA-GARNETT'!$R$14</f>
        <v>42800</v>
      </c>
      <c r="I19" s="73">
        <f>'[5]SPA-GARNETT'!$R$15</f>
        <v>50000</v>
      </c>
      <c r="J19" s="73">
        <f>'[5]SPA-GARNETT'!$R$16</f>
        <v>24000</v>
      </c>
      <c r="K19" s="73">
        <f>'[5]SPA-GARNETT'!$R$17</f>
        <v>24000</v>
      </c>
      <c r="L19" s="73">
        <f>'[5]SPA-GARNETT'!$R$18</f>
        <v>35600</v>
      </c>
      <c r="M19" s="73">
        <f>'[5]SPA-GARNETT'!$R$19</f>
        <v>74400</v>
      </c>
      <c r="N19" s="73">
        <f t="shared" ref="N19:N20" si="5">SUM(B19:M19)</f>
        <v>471600</v>
      </c>
    </row>
    <row r="20" spans="1:14" ht="12.75" customHeight="1" x14ac:dyDescent="0.2">
      <c r="A20" s="67" t="s">
        <v>115</v>
      </c>
      <c r="B20" s="72">
        <f>SUM(B18:B19)/2</f>
        <v>55750</v>
      </c>
      <c r="C20" s="72">
        <f t="shared" ref="C20" si="6">SUM(C18:C19)/2</f>
        <v>29400</v>
      </c>
      <c r="D20" s="72">
        <f t="shared" ref="D20" si="7">SUM(D18:D19)/2</f>
        <v>33750</v>
      </c>
      <c r="E20" s="72">
        <f t="shared" ref="E20" si="8">SUM(E18:E19)/2</f>
        <v>52750</v>
      </c>
      <c r="F20" s="72">
        <f t="shared" ref="F20" si="9">SUM(F18:F19)/2</f>
        <v>47000</v>
      </c>
      <c r="G20" s="72">
        <f t="shared" ref="G20" si="10">SUM(G18:G19)/2</f>
        <v>28800</v>
      </c>
      <c r="H20" s="72">
        <f t="shared" ref="H20" si="11">SUM(H18:H19)/2</f>
        <v>42400</v>
      </c>
      <c r="I20" s="72">
        <f t="shared" ref="I20" si="12">SUM(I18:I19)/2</f>
        <v>39700</v>
      </c>
      <c r="J20" s="72">
        <f t="shared" ref="J20" si="13">SUM(J18:J19)/2</f>
        <v>24900</v>
      </c>
      <c r="K20" s="72">
        <f t="shared" ref="K20" si="14">SUM(K18:K19)/2</f>
        <v>25600</v>
      </c>
      <c r="L20" s="72">
        <f t="shared" ref="L20" si="15">SUM(L18:L19)/2</f>
        <v>30400</v>
      </c>
      <c r="M20" s="72">
        <f t="shared" ref="M20" si="16">SUM(M18:M19)/2</f>
        <v>75200</v>
      </c>
      <c r="N20" s="72">
        <f t="shared" si="5"/>
        <v>485650</v>
      </c>
    </row>
    <row r="21" spans="1:14" ht="12.75" customHeight="1" x14ac:dyDescent="0.2">
      <c r="A21" s="67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12.75" customHeight="1" x14ac:dyDescent="0.2">
      <c r="A22" s="67" t="s">
        <v>169</v>
      </c>
      <c r="B22" s="105">
        <v>0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72">
        <f>SUM(B22:M22)</f>
        <v>0</v>
      </c>
    </row>
    <row r="23" spans="1:14" ht="12.75" customHeight="1" x14ac:dyDescent="0.2">
      <c r="A23" s="67" t="s">
        <v>170</v>
      </c>
      <c r="B23" s="121">
        <f>B47/4*3</f>
        <v>57000</v>
      </c>
      <c r="C23" s="121">
        <f t="shared" ref="C23:M23" si="17">C47/4*3</f>
        <v>23850</v>
      </c>
      <c r="D23" s="121">
        <f t="shared" si="17"/>
        <v>21750</v>
      </c>
      <c r="E23" s="121">
        <f t="shared" si="17"/>
        <v>22500</v>
      </c>
      <c r="F23" s="121">
        <f t="shared" si="17"/>
        <v>22500</v>
      </c>
      <c r="G23" s="121">
        <f t="shared" si="17"/>
        <v>18000</v>
      </c>
      <c r="H23" s="121">
        <f t="shared" si="17"/>
        <v>32100</v>
      </c>
      <c r="I23" s="121">
        <f t="shared" si="17"/>
        <v>37500</v>
      </c>
      <c r="J23" s="121">
        <f t="shared" si="17"/>
        <v>18000</v>
      </c>
      <c r="K23" s="121">
        <f t="shared" si="17"/>
        <v>18000</v>
      </c>
      <c r="L23" s="121">
        <f t="shared" si="17"/>
        <v>26700</v>
      </c>
      <c r="M23" s="121">
        <f t="shared" si="17"/>
        <v>55800</v>
      </c>
      <c r="N23" s="121">
        <f t="shared" ref="N23" si="18">SUM(B23:M23)</f>
        <v>353700</v>
      </c>
    </row>
    <row r="24" spans="1:14" ht="12.75" customHeight="1" x14ac:dyDescent="0.2">
      <c r="A24" s="67" t="s">
        <v>115</v>
      </c>
      <c r="B24" s="72">
        <f>SUM(B22:B23)</f>
        <v>57000</v>
      </c>
      <c r="C24" s="72">
        <f t="shared" ref="C24:N24" si="19">SUM(C22:C23)</f>
        <v>23850</v>
      </c>
      <c r="D24" s="72">
        <f t="shared" si="19"/>
        <v>21750</v>
      </c>
      <c r="E24" s="72">
        <f t="shared" si="19"/>
        <v>22500</v>
      </c>
      <c r="F24" s="72">
        <f t="shared" si="19"/>
        <v>22500</v>
      </c>
      <c r="G24" s="72">
        <f t="shared" si="19"/>
        <v>18000</v>
      </c>
      <c r="H24" s="72">
        <f t="shared" si="19"/>
        <v>32100</v>
      </c>
      <c r="I24" s="72">
        <f t="shared" si="19"/>
        <v>37500</v>
      </c>
      <c r="J24" s="72">
        <f t="shared" si="19"/>
        <v>18000</v>
      </c>
      <c r="K24" s="72">
        <f t="shared" si="19"/>
        <v>18000</v>
      </c>
      <c r="L24" s="72">
        <f t="shared" si="19"/>
        <v>26700</v>
      </c>
      <c r="M24" s="72">
        <f t="shared" si="19"/>
        <v>55800</v>
      </c>
      <c r="N24" s="72">
        <f t="shared" si="19"/>
        <v>353700</v>
      </c>
    </row>
    <row r="25" spans="1:14" ht="12.75" customHeight="1" x14ac:dyDescent="0.2">
      <c r="A25" s="67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4" ht="12.75" customHeight="1" x14ac:dyDescent="0.2">
      <c r="A26" s="67" t="s">
        <v>171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72">
        <f>SUM(B26:M26)</f>
        <v>0</v>
      </c>
    </row>
    <row r="27" spans="1:14" ht="12.75" customHeight="1" x14ac:dyDescent="0.2">
      <c r="A27" s="67" t="s">
        <v>172</v>
      </c>
      <c r="B27" s="120">
        <f>B47/4*2</f>
        <v>38000</v>
      </c>
      <c r="C27" s="120">
        <f t="shared" ref="C27:M27" si="20">C47/4*2</f>
        <v>15900</v>
      </c>
      <c r="D27" s="120">
        <f t="shared" si="20"/>
        <v>14500</v>
      </c>
      <c r="E27" s="120">
        <f t="shared" si="20"/>
        <v>15000</v>
      </c>
      <c r="F27" s="120">
        <f t="shared" si="20"/>
        <v>15000</v>
      </c>
      <c r="G27" s="120">
        <f t="shared" si="20"/>
        <v>12000</v>
      </c>
      <c r="H27" s="120">
        <f t="shared" si="20"/>
        <v>21400</v>
      </c>
      <c r="I27" s="120">
        <f t="shared" si="20"/>
        <v>25000</v>
      </c>
      <c r="J27" s="120">
        <f t="shared" si="20"/>
        <v>12000</v>
      </c>
      <c r="K27" s="120">
        <f t="shared" si="20"/>
        <v>12000</v>
      </c>
      <c r="L27" s="120">
        <f t="shared" si="20"/>
        <v>17800</v>
      </c>
      <c r="M27" s="120">
        <f t="shared" si="20"/>
        <v>37200</v>
      </c>
      <c r="N27" s="120">
        <f t="shared" ref="N27" si="21">SUM(B27:M27)</f>
        <v>235800</v>
      </c>
    </row>
    <row r="28" spans="1:14" ht="12.75" customHeight="1" x14ac:dyDescent="0.2">
      <c r="A28" s="67" t="s">
        <v>115</v>
      </c>
      <c r="B28" s="72">
        <f>SUM(B26:B27)</f>
        <v>38000</v>
      </c>
      <c r="C28" s="72">
        <f t="shared" ref="C28" si="22">SUM(C26:C27)</f>
        <v>15900</v>
      </c>
      <c r="D28" s="72">
        <f t="shared" ref="D28" si="23">SUM(D26:D27)</f>
        <v>14500</v>
      </c>
      <c r="E28" s="72">
        <f t="shared" ref="E28" si="24">SUM(E26:E27)</f>
        <v>15000</v>
      </c>
      <c r="F28" s="72">
        <f t="shared" ref="F28" si="25">SUM(F26:F27)</f>
        <v>15000</v>
      </c>
      <c r="G28" s="72">
        <f t="shared" ref="G28" si="26">SUM(G26:G27)</f>
        <v>12000</v>
      </c>
      <c r="H28" s="72">
        <f t="shared" ref="H28" si="27">SUM(H26:H27)</f>
        <v>21400</v>
      </c>
      <c r="I28" s="72">
        <f t="shared" ref="I28" si="28">SUM(I26:I27)</f>
        <v>25000</v>
      </c>
      <c r="J28" s="72">
        <f t="shared" ref="J28" si="29">SUM(J26:J27)</f>
        <v>12000</v>
      </c>
      <c r="K28" s="72">
        <f t="shared" ref="K28" si="30">SUM(K26:K27)</f>
        <v>12000</v>
      </c>
      <c r="L28" s="72">
        <f t="shared" ref="L28" si="31">SUM(L26:L27)</f>
        <v>17800</v>
      </c>
      <c r="M28" s="72">
        <f t="shared" ref="M28" si="32">SUM(M26:M27)</f>
        <v>37200</v>
      </c>
      <c r="N28" s="72">
        <f t="shared" ref="N28" si="33">SUM(N26:N27)</f>
        <v>235800</v>
      </c>
    </row>
    <row r="29" spans="1:14" ht="12.75" customHeight="1" x14ac:dyDescent="0.2">
      <c r="A29" s="67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2.75" customHeight="1" x14ac:dyDescent="0.2">
      <c r="A30" s="67" t="s">
        <v>149</v>
      </c>
      <c r="B30" s="105">
        <f>'[4]SPA-IOLA'!$R$8</f>
        <v>120000</v>
      </c>
      <c r="C30" s="105">
        <f>'[4]SPA-IOLA'!$R$9</f>
        <v>120000</v>
      </c>
      <c r="D30" s="105">
        <f>'[4]SPA-IOLA'!$R$10</f>
        <v>120000</v>
      </c>
      <c r="E30" s="105">
        <f>'[4]SPA-IOLA'!$R$11</f>
        <v>105000</v>
      </c>
      <c r="F30" s="105">
        <f>'[4]SPA-IOLA'!$R$12</f>
        <v>106000</v>
      </c>
      <c r="G30" s="105">
        <f>'[4]SPA-IOLA'!$R$13</f>
        <v>149000</v>
      </c>
      <c r="H30" s="105">
        <f>'[4]SPA-IOLA'!$R$14</f>
        <v>299000</v>
      </c>
      <c r="I30" s="105">
        <f>'[4]SPA-IOLA'!$R$15</f>
        <v>296000</v>
      </c>
      <c r="J30" s="105">
        <f>'[4]SPA-IOLA'!$R$16</f>
        <v>149000</v>
      </c>
      <c r="K30" s="105">
        <f>'[4]SPA-IOLA'!$R$17</f>
        <v>105000</v>
      </c>
      <c r="L30" s="105">
        <f>'[4]SPA-IOLA'!$R$18</f>
        <v>112000</v>
      </c>
      <c r="M30" s="105">
        <f>'[4]SPA-IOLA'!$R$19</f>
        <v>120000</v>
      </c>
      <c r="N30" s="72">
        <f>SUM(B30:M30)</f>
        <v>1801000</v>
      </c>
    </row>
    <row r="31" spans="1:14" ht="12.75" customHeight="1" x14ac:dyDescent="0.2">
      <c r="A31" s="67" t="s">
        <v>162</v>
      </c>
      <c r="B31" s="73">
        <f>'[5]SPA-IOLA'!$R$8</f>
        <v>120000</v>
      </c>
      <c r="C31" s="73">
        <f>'[5]SPA-IOLA'!$R$9</f>
        <v>120000</v>
      </c>
      <c r="D31" s="73">
        <f>'[5]SPA-IOLA'!$R$10</f>
        <v>120000</v>
      </c>
      <c r="E31" s="73">
        <f>'[5]SPA-IOLA'!$R$11</f>
        <v>105000</v>
      </c>
      <c r="F31" s="73">
        <f>'[5]SPA-IOLA'!$R$12</f>
        <v>105000</v>
      </c>
      <c r="G31" s="73">
        <f>'[5]SPA-IOLA'!$R$13</f>
        <v>150000</v>
      </c>
      <c r="H31" s="73">
        <f>'[5]SPA-IOLA'!$R$14</f>
        <v>300000</v>
      </c>
      <c r="I31" s="73">
        <f>'[5]SPA-IOLA'!$R$15</f>
        <v>299000</v>
      </c>
      <c r="J31" s="73">
        <f>'[5]SPA-IOLA'!$R$16</f>
        <v>150000</v>
      </c>
      <c r="K31" s="73">
        <f>'[5]SPA-IOLA'!$R$17</f>
        <v>105000</v>
      </c>
      <c r="L31" s="73">
        <f>'[5]SPA-IOLA'!$R$18</f>
        <v>105000</v>
      </c>
      <c r="M31" s="73">
        <f>'[5]SPA-IOLA'!$R$19</f>
        <v>120000</v>
      </c>
      <c r="N31" s="73">
        <f t="shared" ref="N31:N32" si="34">SUM(B31:M31)</f>
        <v>1799000</v>
      </c>
    </row>
    <row r="32" spans="1:14" ht="12.75" customHeight="1" x14ac:dyDescent="0.2">
      <c r="A32" s="67" t="s">
        <v>115</v>
      </c>
      <c r="B32" s="72">
        <f>SUM(B30:B31)/2</f>
        <v>120000</v>
      </c>
      <c r="C32" s="72">
        <f t="shared" ref="C32" si="35">SUM(C30:C31)/2</f>
        <v>120000</v>
      </c>
      <c r="D32" s="72">
        <f t="shared" ref="D32" si="36">SUM(D30:D31)/2</f>
        <v>120000</v>
      </c>
      <c r="E32" s="72">
        <f t="shared" ref="E32" si="37">SUM(E30:E31)/2</f>
        <v>105000</v>
      </c>
      <c r="F32" s="72">
        <f t="shared" ref="F32" si="38">SUM(F30:F31)/2</f>
        <v>105500</v>
      </c>
      <c r="G32" s="72">
        <f t="shared" ref="G32" si="39">SUM(G30:G31)/2</f>
        <v>149500</v>
      </c>
      <c r="H32" s="72">
        <f t="shared" ref="H32" si="40">SUM(H30:H31)/2</f>
        <v>299500</v>
      </c>
      <c r="I32" s="72">
        <f t="shared" ref="I32" si="41">SUM(I30:I31)/2</f>
        <v>297500</v>
      </c>
      <c r="J32" s="72">
        <f t="shared" ref="J32" si="42">SUM(J30:J31)/2</f>
        <v>149500</v>
      </c>
      <c r="K32" s="72">
        <f t="shared" ref="K32" si="43">SUM(K30:K31)/2</f>
        <v>105000</v>
      </c>
      <c r="L32" s="72">
        <f t="shared" ref="L32" si="44">SUM(L30:L31)/2</f>
        <v>108500</v>
      </c>
      <c r="M32" s="72">
        <f t="shared" ref="M32" si="45">SUM(M30:M31)/2</f>
        <v>120000</v>
      </c>
      <c r="N32" s="72">
        <f t="shared" si="34"/>
        <v>1800000</v>
      </c>
    </row>
    <row r="33" spans="1:14" ht="12.75" customHeight="1" x14ac:dyDescent="0.2">
      <c r="A33" s="67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2.75" customHeight="1" x14ac:dyDescent="0.2">
      <c r="A34" s="67" t="s">
        <v>150</v>
      </c>
      <c r="B34" s="105">
        <f>'[4]SPA-MULVANE'!$R$8</f>
        <v>48000</v>
      </c>
      <c r="C34" s="105">
        <f>'[4]SPA-MULVANE'!$R$9</f>
        <v>48000</v>
      </c>
      <c r="D34" s="105">
        <f>'[4]SPA-MULVANE'!$R$10</f>
        <v>48000</v>
      </c>
      <c r="E34" s="105">
        <f>'[4]SPA-MULVANE'!$R$11</f>
        <v>42000</v>
      </c>
      <c r="F34" s="105">
        <f>'[4]SPA-MULVANE'!$R$12</f>
        <v>42000</v>
      </c>
      <c r="G34" s="105">
        <f>'[4]SPA-MULVANE'!$R$13</f>
        <v>60000</v>
      </c>
      <c r="H34" s="105">
        <f>'[4]SPA-MULVANE'!$R$14</f>
        <v>120000</v>
      </c>
      <c r="I34" s="105">
        <f>'[4]SPA-MULVANE'!$R$15</f>
        <v>120000</v>
      </c>
      <c r="J34" s="105">
        <f>'[4]SPA-MULVANE'!$R$16</f>
        <v>60000</v>
      </c>
      <c r="K34" s="105">
        <f>'[4]SPA-MULVANE'!$R$17</f>
        <v>42000</v>
      </c>
      <c r="L34" s="105">
        <f>'[4]SPA-MULVANE'!$R$18</f>
        <v>42000</v>
      </c>
      <c r="M34" s="105">
        <f>'[4]SPA-MULVANE'!$R$19</f>
        <v>48000</v>
      </c>
      <c r="N34" s="72">
        <f>SUM(B34:M34)</f>
        <v>720000</v>
      </c>
    </row>
    <row r="35" spans="1:14" ht="12.75" customHeight="1" x14ac:dyDescent="0.2">
      <c r="A35" s="67" t="s">
        <v>163</v>
      </c>
      <c r="B35" s="73">
        <f>'[5]SPA-MULVANE'!$R$8</f>
        <v>48000</v>
      </c>
      <c r="C35" s="73">
        <f>'[5]SPA-MULVANE'!$R$9</f>
        <v>48000</v>
      </c>
      <c r="D35" s="73">
        <f>'[5]SPA-MULVANE'!$R$10</f>
        <v>48000</v>
      </c>
      <c r="E35" s="73">
        <f>'[5]SPA-MULVANE'!$R$11</f>
        <v>40000</v>
      </c>
      <c r="F35" s="73">
        <f>'[5]SPA-MULVANE'!$R$12</f>
        <v>44000</v>
      </c>
      <c r="G35" s="73">
        <f>'[5]SPA-MULVANE'!$R$13</f>
        <v>60000</v>
      </c>
      <c r="H35" s="73">
        <f>'[5]SPA-MULVANE'!$R$14</f>
        <v>120000</v>
      </c>
      <c r="I35" s="73">
        <f>'[5]SPA-MULVANE'!$R$15</f>
        <v>120000</v>
      </c>
      <c r="J35" s="73">
        <f>'[5]SPA-MULVANE'!$R$16</f>
        <v>60000</v>
      </c>
      <c r="K35" s="73">
        <f>'[5]SPA-MULVANE'!$R$17</f>
        <v>42000</v>
      </c>
      <c r="L35" s="73">
        <f>'[5]SPA-MULVANE'!$R$18</f>
        <v>42000</v>
      </c>
      <c r="M35" s="73">
        <f>'[5]SPA-MULVANE'!$R$19</f>
        <v>48000</v>
      </c>
      <c r="N35" s="73">
        <f t="shared" ref="N35:N36" si="46">SUM(B35:M35)</f>
        <v>720000</v>
      </c>
    </row>
    <row r="36" spans="1:14" ht="12.75" customHeight="1" x14ac:dyDescent="0.2">
      <c r="A36" s="67" t="s">
        <v>115</v>
      </c>
      <c r="B36" s="72">
        <f>SUM(B34:B35)/2</f>
        <v>48000</v>
      </c>
      <c r="C36" s="72">
        <f t="shared" ref="C36" si="47">SUM(C34:C35)/2</f>
        <v>48000</v>
      </c>
      <c r="D36" s="72">
        <f t="shared" ref="D36" si="48">SUM(D34:D35)/2</f>
        <v>48000</v>
      </c>
      <c r="E36" s="72">
        <f t="shared" ref="E36" si="49">SUM(E34:E35)/2</f>
        <v>41000</v>
      </c>
      <c r="F36" s="72">
        <f t="shared" ref="F36" si="50">SUM(F34:F35)/2</f>
        <v>43000</v>
      </c>
      <c r="G36" s="72">
        <f t="shared" ref="G36" si="51">SUM(G34:G35)/2</f>
        <v>60000</v>
      </c>
      <c r="H36" s="72">
        <f t="shared" ref="H36" si="52">SUM(H34:H35)/2</f>
        <v>120000</v>
      </c>
      <c r="I36" s="72">
        <f t="shared" ref="I36" si="53">SUM(I34:I35)/2</f>
        <v>120000</v>
      </c>
      <c r="J36" s="72">
        <f t="shared" ref="J36" si="54">SUM(J34:J35)/2</f>
        <v>60000</v>
      </c>
      <c r="K36" s="72">
        <f t="shared" ref="K36" si="55">SUM(K34:K35)/2</f>
        <v>42000</v>
      </c>
      <c r="L36" s="72">
        <f t="shared" ref="L36" si="56">SUM(L34:L35)/2</f>
        <v>42000</v>
      </c>
      <c r="M36" s="72">
        <f t="shared" ref="M36" si="57">SUM(M34:M35)/2</f>
        <v>48000</v>
      </c>
      <c r="N36" s="72">
        <f t="shared" si="46"/>
        <v>720000</v>
      </c>
    </row>
    <row r="37" spans="1:14" ht="12.75" customHeight="1" x14ac:dyDescent="0.2">
      <c r="A37" s="67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1:14" ht="12.75" customHeight="1" x14ac:dyDescent="0.2">
      <c r="A38" s="67" t="s">
        <v>151</v>
      </c>
      <c r="B38" s="105">
        <f>'[4]SPA-NEODESHA'!$R$8</f>
        <v>48000</v>
      </c>
      <c r="C38" s="105">
        <f>'[4]SPA-NEODESHA'!$R$9</f>
        <v>48000</v>
      </c>
      <c r="D38" s="105">
        <f>'[4]SPA-NEODESHA'!$R$10</f>
        <v>48000</v>
      </c>
      <c r="E38" s="105">
        <f>'[4]SPA-NEODESHA'!$R$11</f>
        <v>42000</v>
      </c>
      <c r="F38" s="105">
        <f>'[4]SPA-NEODESHA'!$R$12</f>
        <v>42000</v>
      </c>
      <c r="G38" s="105">
        <f>'[4]SPA-NEODESHA'!$R$13</f>
        <v>59000</v>
      </c>
      <c r="H38" s="105">
        <f>'[4]SPA-NEODESHA'!$R$14</f>
        <v>120000</v>
      </c>
      <c r="I38" s="105">
        <f>'[4]SPA-NEODESHA'!$R$15</f>
        <v>118000</v>
      </c>
      <c r="J38" s="105">
        <f>'[4]SPA-NEODESHA'!$R$16</f>
        <v>60000</v>
      </c>
      <c r="K38" s="105">
        <f>'[4]SPA-NEODESHA'!$R$17</f>
        <v>42000</v>
      </c>
      <c r="L38" s="105">
        <f>'[4]SPA-NEODESHA'!$R$18</f>
        <v>45000</v>
      </c>
      <c r="M38" s="105">
        <f>'[4]SPA-NEODESHA'!$R$19</f>
        <v>48000</v>
      </c>
      <c r="N38" s="72">
        <f>SUM(B38:M38)</f>
        <v>720000</v>
      </c>
    </row>
    <row r="39" spans="1:14" ht="12.75" customHeight="1" x14ac:dyDescent="0.2">
      <c r="A39" s="67" t="s">
        <v>136</v>
      </c>
      <c r="B39" s="73">
        <f>'[5]SPA-NEODESHA'!$R$8</f>
        <v>48000</v>
      </c>
      <c r="C39" s="73">
        <f>'[5]SPA-NEODESHA'!$R$9</f>
        <v>48000</v>
      </c>
      <c r="D39" s="73">
        <f>'[5]SPA-NEODESHA'!$R$10</f>
        <v>48000</v>
      </c>
      <c r="E39" s="73">
        <f>'[5]SPA-NEODESHA'!$R$11</f>
        <v>42000</v>
      </c>
      <c r="F39" s="73">
        <f>'[5]SPA-NEODESHA'!$R$12</f>
        <v>42000</v>
      </c>
      <c r="G39" s="73">
        <f>'[5]SPA-NEODESHA'!$R$13</f>
        <v>60000</v>
      </c>
      <c r="H39" s="73">
        <f>'[5]SPA-NEODESHA'!$R$14</f>
        <v>120000</v>
      </c>
      <c r="I39" s="73">
        <f>'[5]SPA-NEODESHA'!$R$15</f>
        <v>120000</v>
      </c>
      <c r="J39" s="73">
        <f>'[5]SPA-NEODESHA'!$R$16</f>
        <v>58000</v>
      </c>
      <c r="K39" s="73">
        <f>'[5]SPA-NEODESHA'!$R$17</f>
        <v>44000</v>
      </c>
      <c r="L39" s="73">
        <f>'[5]SPA-NEODESHA'!$R$18</f>
        <v>42000</v>
      </c>
      <c r="M39" s="73">
        <f>'[5]SPA-NEODESHA'!$R$19</f>
        <v>48000</v>
      </c>
      <c r="N39" s="73">
        <f t="shared" ref="N39:N40" si="58">SUM(B39:M39)</f>
        <v>720000</v>
      </c>
    </row>
    <row r="40" spans="1:14" ht="12.75" customHeight="1" x14ac:dyDescent="0.2">
      <c r="A40" s="67" t="s">
        <v>115</v>
      </c>
      <c r="B40" s="72">
        <f>SUM(B38:B39)/2</f>
        <v>48000</v>
      </c>
      <c r="C40" s="72">
        <f t="shared" ref="C40" si="59">SUM(C38:C39)/2</f>
        <v>48000</v>
      </c>
      <c r="D40" s="72">
        <f t="shared" ref="D40" si="60">SUM(D38:D39)/2</f>
        <v>48000</v>
      </c>
      <c r="E40" s="72">
        <f t="shared" ref="E40" si="61">SUM(E38:E39)/2</f>
        <v>42000</v>
      </c>
      <c r="F40" s="72">
        <f t="shared" ref="F40" si="62">SUM(F38:F39)/2</f>
        <v>42000</v>
      </c>
      <c r="G40" s="72">
        <f t="shared" ref="G40" si="63">SUM(G38:G39)/2</f>
        <v>59500</v>
      </c>
      <c r="H40" s="72">
        <f t="shared" ref="H40" si="64">SUM(H38:H39)/2</f>
        <v>120000</v>
      </c>
      <c r="I40" s="72">
        <f t="shared" ref="I40" si="65">SUM(I38:I39)/2</f>
        <v>119000</v>
      </c>
      <c r="J40" s="72">
        <f t="shared" ref="J40" si="66">SUM(J38:J39)/2</f>
        <v>59000</v>
      </c>
      <c r="K40" s="72">
        <f t="shared" ref="K40" si="67">SUM(K38:K39)/2</f>
        <v>43000</v>
      </c>
      <c r="L40" s="72">
        <f t="shared" ref="L40" si="68">SUM(L38:L39)/2</f>
        <v>43500</v>
      </c>
      <c r="M40" s="72">
        <f t="shared" ref="M40" si="69">SUM(M38:M39)/2</f>
        <v>48000</v>
      </c>
      <c r="N40" s="72">
        <f t="shared" si="58"/>
        <v>720000</v>
      </c>
    </row>
    <row r="41" spans="1:14" ht="12.75" customHeight="1" x14ac:dyDescent="0.2">
      <c r="A41" s="67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 customHeight="1" x14ac:dyDescent="0.2">
      <c r="A42" s="67" t="s">
        <v>156</v>
      </c>
      <c r="B42" s="72">
        <f t="shared" ref="B42:M42" si="70">(B46+B18)/4</f>
        <v>17750</v>
      </c>
      <c r="C42" s="72">
        <f t="shared" si="70"/>
        <v>13500</v>
      </c>
      <c r="D42" s="72">
        <f t="shared" si="70"/>
        <v>19250</v>
      </c>
      <c r="E42" s="72">
        <f t="shared" si="70"/>
        <v>37750</v>
      </c>
      <c r="F42" s="72">
        <f t="shared" si="70"/>
        <v>32000</v>
      </c>
      <c r="G42" s="72">
        <f t="shared" si="70"/>
        <v>16800</v>
      </c>
      <c r="H42" s="72">
        <f t="shared" si="70"/>
        <v>21000</v>
      </c>
      <c r="I42" s="72">
        <f t="shared" si="70"/>
        <v>14700</v>
      </c>
      <c r="J42" s="72">
        <f t="shared" si="70"/>
        <v>12900</v>
      </c>
      <c r="K42" s="72">
        <f t="shared" si="70"/>
        <v>13600</v>
      </c>
      <c r="L42" s="72">
        <f t="shared" si="70"/>
        <v>12600</v>
      </c>
      <c r="M42" s="72">
        <f t="shared" si="70"/>
        <v>38000</v>
      </c>
      <c r="N42" s="72">
        <f>SUM(B42:M42)</f>
        <v>249850</v>
      </c>
    </row>
    <row r="43" spans="1:14" ht="12.75" customHeight="1" x14ac:dyDescent="0.2">
      <c r="A43" s="67" t="s">
        <v>164</v>
      </c>
      <c r="B43" s="73">
        <f t="shared" ref="B43:M43" si="71">(B47+B19)/4</f>
        <v>38000</v>
      </c>
      <c r="C43" s="73">
        <f t="shared" si="71"/>
        <v>15900</v>
      </c>
      <c r="D43" s="73">
        <f t="shared" si="71"/>
        <v>14500</v>
      </c>
      <c r="E43" s="73">
        <f t="shared" si="71"/>
        <v>15000</v>
      </c>
      <c r="F43" s="73">
        <f t="shared" si="71"/>
        <v>15000</v>
      </c>
      <c r="G43" s="73">
        <f t="shared" si="71"/>
        <v>12000</v>
      </c>
      <c r="H43" s="73">
        <f t="shared" si="71"/>
        <v>21400</v>
      </c>
      <c r="I43" s="73">
        <f t="shared" si="71"/>
        <v>25000</v>
      </c>
      <c r="J43" s="73">
        <f t="shared" si="71"/>
        <v>12000</v>
      </c>
      <c r="K43" s="73">
        <f t="shared" si="71"/>
        <v>12000</v>
      </c>
      <c r="L43" s="73">
        <f t="shared" si="71"/>
        <v>17800</v>
      </c>
      <c r="M43" s="73">
        <f t="shared" si="71"/>
        <v>37200</v>
      </c>
      <c r="N43" s="73">
        <f>SUM(B43:M43)</f>
        <v>235800</v>
      </c>
    </row>
    <row r="44" spans="1:14" ht="12.75" customHeight="1" x14ac:dyDescent="0.2">
      <c r="A44" s="67" t="s">
        <v>115</v>
      </c>
      <c r="B44" s="72">
        <f>SUM(B42:B43)/2</f>
        <v>27875</v>
      </c>
      <c r="C44" s="72">
        <f t="shared" ref="C44:M44" si="72">SUM(C42:C43)/2</f>
        <v>14700</v>
      </c>
      <c r="D44" s="72">
        <f t="shared" si="72"/>
        <v>16875</v>
      </c>
      <c r="E44" s="72">
        <f t="shared" si="72"/>
        <v>26375</v>
      </c>
      <c r="F44" s="72">
        <f t="shared" si="72"/>
        <v>23500</v>
      </c>
      <c r="G44" s="72">
        <f t="shared" si="72"/>
        <v>14400</v>
      </c>
      <c r="H44" s="72">
        <f t="shared" si="72"/>
        <v>21200</v>
      </c>
      <c r="I44" s="72">
        <f t="shared" si="72"/>
        <v>19850</v>
      </c>
      <c r="J44" s="72">
        <f t="shared" si="72"/>
        <v>12450</v>
      </c>
      <c r="K44" s="72">
        <f t="shared" si="72"/>
        <v>12800</v>
      </c>
      <c r="L44" s="72">
        <f t="shared" si="72"/>
        <v>15200</v>
      </c>
      <c r="M44" s="72">
        <f t="shared" si="72"/>
        <v>37600</v>
      </c>
      <c r="N44" s="72">
        <f t="shared" ref="N44" si="73">SUM(B44:M44)</f>
        <v>242825</v>
      </c>
    </row>
    <row r="45" spans="1:14" ht="12.75" customHeight="1" x14ac:dyDescent="0.2">
      <c r="A45" s="67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 customHeight="1" x14ac:dyDescent="0.2">
      <c r="A46" s="67" t="s">
        <v>152</v>
      </c>
      <c r="B46" s="105">
        <f>'[4]SPA-OSAWATOMIE'!$R$8</f>
        <v>35500</v>
      </c>
      <c r="C46" s="105">
        <f>'[4]SPA-OSAWATOMIE'!$R$9</f>
        <v>27000</v>
      </c>
      <c r="D46" s="105">
        <f>'[4]SPA-OSAWATOMIE'!$R$10</f>
        <v>38500</v>
      </c>
      <c r="E46" s="105">
        <f>'[4]SPA-OSAWATOMIE'!$R$11</f>
        <v>75500</v>
      </c>
      <c r="F46" s="105">
        <f>'[4]SPA-OSAWATOMIE'!$R$12</f>
        <v>64000</v>
      </c>
      <c r="G46" s="105">
        <f>'[4]SPA-OSAWATOMIE'!$R$13</f>
        <v>33600</v>
      </c>
      <c r="H46" s="105">
        <f>'[4]SPA-OSAWATOMIE'!$R$14</f>
        <v>42000</v>
      </c>
      <c r="I46" s="105">
        <f>'[4]SPA-OSAWATOMIE'!$R$15</f>
        <v>29400</v>
      </c>
      <c r="J46" s="105">
        <f>'[4]SPA-OSAWATOMIE'!$R$16</f>
        <v>25800</v>
      </c>
      <c r="K46" s="105">
        <f>'[4]SPA-OSAWATOMIE'!$R$17</f>
        <v>27200</v>
      </c>
      <c r="L46" s="105">
        <f>'[4]SPA-OSAWATOMIE'!$R$18</f>
        <v>25200</v>
      </c>
      <c r="M46" s="105">
        <f>'[4]SPA-OSAWATOMIE'!$R$19</f>
        <v>76000</v>
      </c>
      <c r="N46" s="72">
        <f>SUM(B46:M46)</f>
        <v>499700</v>
      </c>
    </row>
    <row r="47" spans="1:14" ht="12.75" customHeight="1" x14ac:dyDescent="0.2">
      <c r="A47" s="67" t="s">
        <v>165</v>
      </c>
      <c r="B47" s="73">
        <f>'[5]SPA-OSAWATOMIE'!$R$8</f>
        <v>76000</v>
      </c>
      <c r="C47" s="73">
        <f>'[5]SPA-OSAWATOMIE'!$R$9</f>
        <v>31800</v>
      </c>
      <c r="D47" s="73">
        <f>'[5]SPA-OSAWATOMIE'!$R$10</f>
        <v>29000</v>
      </c>
      <c r="E47" s="73">
        <f>'[5]SPA-OSAWATOMIE'!$R$11</f>
        <v>30000</v>
      </c>
      <c r="F47" s="73">
        <f>'[5]SPA-OSAWATOMIE'!$R$12</f>
        <v>30000</v>
      </c>
      <c r="G47" s="73">
        <f>'[5]SPA-OSAWATOMIE'!$R$13</f>
        <v>24000</v>
      </c>
      <c r="H47" s="73">
        <f>'[5]SPA-OSAWATOMIE'!$R$14</f>
        <v>42800</v>
      </c>
      <c r="I47" s="73">
        <f>'[5]SPA-OSAWATOMIE'!$R$15</f>
        <v>50000</v>
      </c>
      <c r="J47" s="73">
        <f>'[5]SPA-OSAWATOMIE'!$R$16</f>
        <v>24000</v>
      </c>
      <c r="K47" s="73">
        <f>'[5]SPA-OSAWATOMIE'!$R$17</f>
        <v>24000</v>
      </c>
      <c r="L47" s="73">
        <f>'[5]SPA-OSAWATOMIE'!$R$18</f>
        <v>35600</v>
      </c>
      <c r="M47" s="73">
        <f>'[5]SPA-OSAWATOMIE'!$R$19</f>
        <v>74400</v>
      </c>
      <c r="N47" s="73">
        <f t="shared" ref="N47:N48" si="74">SUM(B47:M47)</f>
        <v>471600</v>
      </c>
    </row>
    <row r="48" spans="1:14" ht="12.75" customHeight="1" x14ac:dyDescent="0.2">
      <c r="A48" s="67" t="s">
        <v>115</v>
      </c>
      <c r="B48" s="72">
        <f>SUM(B46:B47)/2</f>
        <v>55750</v>
      </c>
      <c r="C48" s="72">
        <f t="shared" ref="C48" si="75">SUM(C46:C47)/2</f>
        <v>29400</v>
      </c>
      <c r="D48" s="72">
        <f t="shared" ref="D48" si="76">SUM(D46:D47)/2</f>
        <v>33750</v>
      </c>
      <c r="E48" s="72">
        <f t="shared" ref="E48" si="77">SUM(E46:E47)/2</f>
        <v>52750</v>
      </c>
      <c r="F48" s="72">
        <f t="shared" ref="F48" si="78">SUM(F46:F47)/2</f>
        <v>47000</v>
      </c>
      <c r="G48" s="72">
        <f t="shared" ref="G48" si="79">SUM(G46:G47)/2</f>
        <v>28800</v>
      </c>
      <c r="H48" s="72">
        <f t="shared" ref="H48" si="80">SUM(H46:H47)/2</f>
        <v>42400</v>
      </c>
      <c r="I48" s="72">
        <f t="shared" ref="I48" si="81">SUM(I46:I47)/2</f>
        <v>39700</v>
      </c>
      <c r="J48" s="72">
        <f t="shared" ref="J48" si="82">SUM(J46:J47)/2</f>
        <v>24900</v>
      </c>
      <c r="K48" s="72">
        <f t="shared" ref="K48" si="83">SUM(K46:K47)/2</f>
        <v>25600</v>
      </c>
      <c r="L48" s="72">
        <f t="shared" ref="L48" si="84">SUM(L46:L47)/2</f>
        <v>30400</v>
      </c>
      <c r="M48" s="72">
        <f t="shared" ref="M48" si="85">SUM(M46:M47)/2</f>
        <v>75200</v>
      </c>
      <c r="N48" s="72">
        <f t="shared" si="74"/>
        <v>485650</v>
      </c>
    </row>
    <row r="49" spans="1:14" ht="12.75" customHeight="1" x14ac:dyDescent="0.2">
      <c r="A49" s="67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2.75" customHeight="1" x14ac:dyDescent="0.2">
      <c r="A50" s="67" t="s">
        <v>153</v>
      </c>
      <c r="B50" s="105">
        <f>'[4]SPA-OTTAWA'!$R$8</f>
        <v>71000</v>
      </c>
      <c r="C50" s="105">
        <f>'[4]SPA-OTTAWA'!$R$9</f>
        <v>54000</v>
      </c>
      <c r="D50" s="105">
        <f>'[4]SPA-OTTAWA'!$R$10</f>
        <v>77000</v>
      </c>
      <c r="E50" s="105">
        <f>'[4]SPA-OTTAWA'!$R$11</f>
        <v>151000</v>
      </c>
      <c r="F50" s="105">
        <f>'[4]SPA-OTTAWA'!$R$12</f>
        <v>128000</v>
      </c>
      <c r="G50" s="105">
        <f>'[4]SPA-OTTAWA'!$R$13</f>
        <v>84000</v>
      </c>
      <c r="H50" s="105">
        <f>'[4]SPA-OTTAWA'!$R$14</f>
        <v>105000</v>
      </c>
      <c r="I50" s="105">
        <f>'[4]SPA-OTTAWA'!$R$15</f>
        <v>73500</v>
      </c>
      <c r="J50" s="105">
        <f>'[4]SPA-OTTAWA'!$R$16</f>
        <v>64500</v>
      </c>
      <c r="K50" s="105">
        <f>'[4]SPA-OTTAWA'!$R$17</f>
        <v>68000</v>
      </c>
      <c r="L50" s="105">
        <f>'[4]SPA-OTTAWA'!$R$18</f>
        <v>63000</v>
      </c>
      <c r="M50" s="105">
        <f>'[4]SPA-OTTAWA'!$R$19</f>
        <v>190000</v>
      </c>
      <c r="N50" s="72">
        <f>SUM(B50:M50)</f>
        <v>1129000</v>
      </c>
    </row>
    <row r="51" spans="1:14" ht="12.75" customHeight="1" x14ac:dyDescent="0.2">
      <c r="A51" s="67" t="s">
        <v>166</v>
      </c>
      <c r="B51" s="73">
        <f>'[5]SPA-OTTAWA'!$R$8</f>
        <v>190000</v>
      </c>
      <c r="C51" s="73">
        <f>'[5]SPA-OTTAWA'!$R$9</f>
        <v>79500</v>
      </c>
      <c r="D51" s="73">
        <f>'[5]SPA-OTTAWA'!$R$10</f>
        <v>72500</v>
      </c>
      <c r="E51" s="73">
        <f>'[5]SPA-OTTAWA'!$R$11</f>
        <v>75000</v>
      </c>
      <c r="F51" s="73">
        <f>'[5]SPA-OTTAWA'!$R$12</f>
        <v>75000</v>
      </c>
      <c r="G51" s="73">
        <f>'[5]SPA-OTTAWA'!$R$13</f>
        <v>60000</v>
      </c>
      <c r="H51" s="73">
        <f>'[5]SPA-OTTAWA'!$R$14</f>
        <v>107000</v>
      </c>
      <c r="I51" s="73">
        <f>'[5]SPA-OTTAWA'!$R$15</f>
        <v>125000</v>
      </c>
      <c r="J51" s="73">
        <f>'[5]SPA-OTTAWA'!$R$16</f>
        <v>60000</v>
      </c>
      <c r="K51" s="73">
        <f>'[5]SPA-OTTAWA'!$R$17</f>
        <v>60000</v>
      </c>
      <c r="L51" s="73">
        <f>'[5]SPA-OTTAWA'!$R$18</f>
        <v>89000</v>
      </c>
      <c r="M51" s="73">
        <f>'[5]SPA-OTTAWA'!$R$19</f>
        <v>186000</v>
      </c>
      <c r="N51" s="73">
        <f t="shared" ref="N51:N52" si="86">SUM(B51:M51)</f>
        <v>1179000</v>
      </c>
    </row>
    <row r="52" spans="1:14" ht="12.75" customHeight="1" x14ac:dyDescent="0.2">
      <c r="A52" s="67" t="s">
        <v>115</v>
      </c>
      <c r="B52" s="72">
        <f>SUM(B50:B51)/2</f>
        <v>130500</v>
      </c>
      <c r="C52" s="72">
        <f t="shared" ref="C52" si="87">SUM(C50:C51)/2</f>
        <v>66750</v>
      </c>
      <c r="D52" s="72">
        <f t="shared" ref="D52" si="88">SUM(D50:D51)/2</f>
        <v>74750</v>
      </c>
      <c r="E52" s="72">
        <f t="shared" ref="E52" si="89">SUM(E50:E51)/2</f>
        <v>113000</v>
      </c>
      <c r="F52" s="72">
        <f t="shared" ref="F52" si="90">SUM(F50:F51)/2</f>
        <v>101500</v>
      </c>
      <c r="G52" s="72">
        <f t="shared" ref="G52" si="91">SUM(G50:G51)/2</f>
        <v>72000</v>
      </c>
      <c r="H52" s="72">
        <f t="shared" ref="H52" si="92">SUM(H50:H51)/2</f>
        <v>106000</v>
      </c>
      <c r="I52" s="72">
        <f t="shared" ref="I52" si="93">SUM(I50:I51)/2</f>
        <v>99250</v>
      </c>
      <c r="J52" s="72">
        <f t="shared" ref="J52" si="94">SUM(J50:J51)/2</f>
        <v>62250</v>
      </c>
      <c r="K52" s="72">
        <f t="shared" ref="K52" si="95">SUM(K50:K51)/2</f>
        <v>64000</v>
      </c>
      <c r="L52" s="72">
        <f t="shared" ref="L52" si="96">SUM(L50:L51)/2</f>
        <v>76000</v>
      </c>
      <c r="M52" s="72">
        <f t="shared" ref="M52" si="97">SUM(M50:M51)/2</f>
        <v>188000</v>
      </c>
      <c r="N52" s="72">
        <f t="shared" si="86"/>
        <v>1154000</v>
      </c>
    </row>
    <row r="53" spans="1:14" ht="12.75" customHeight="1" x14ac:dyDescent="0.2">
      <c r="A53" s="67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4" ht="12.75" customHeight="1" x14ac:dyDescent="0.2">
      <c r="A54" s="67" t="s">
        <v>173</v>
      </c>
      <c r="B54" s="105">
        <v>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72">
        <f>SUM(B54:M54)</f>
        <v>0</v>
      </c>
    </row>
    <row r="55" spans="1:14" ht="12.75" customHeight="1" x14ac:dyDescent="0.2">
      <c r="A55" s="67" t="s">
        <v>174</v>
      </c>
      <c r="B55" s="121">
        <f>B47/4</f>
        <v>19000</v>
      </c>
      <c r="C55" s="121">
        <f t="shared" ref="C55:M55" si="98">C47/4</f>
        <v>7950</v>
      </c>
      <c r="D55" s="121">
        <f t="shared" si="98"/>
        <v>7250</v>
      </c>
      <c r="E55" s="121">
        <f t="shared" si="98"/>
        <v>7500</v>
      </c>
      <c r="F55" s="121">
        <f t="shared" si="98"/>
        <v>7500</v>
      </c>
      <c r="G55" s="121">
        <f t="shared" si="98"/>
        <v>6000</v>
      </c>
      <c r="H55" s="121">
        <f t="shared" si="98"/>
        <v>10700</v>
      </c>
      <c r="I55" s="121">
        <f t="shared" si="98"/>
        <v>12500</v>
      </c>
      <c r="J55" s="121">
        <f t="shared" si="98"/>
        <v>6000</v>
      </c>
      <c r="K55" s="121">
        <f t="shared" si="98"/>
        <v>6000</v>
      </c>
      <c r="L55" s="121">
        <f t="shared" si="98"/>
        <v>8900</v>
      </c>
      <c r="M55" s="121">
        <f t="shared" si="98"/>
        <v>18600</v>
      </c>
      <c r="N55" s="121">
        <f t="shared" ref="N55" si="99">SUM(B55:M55)</f>
        <v>117900</v>
      </c>
    </row>
    <row r="56" spans="1:14" ht="12.75" customHeight="1" x14ac:dyDescent="0.2">
      <c r="A56" s="67" t="s">
        <v>115</v>
      </c>
      <c r="B56" s="72">
        <f>SUM(B54:B55)</f>
        <v>19000</v>
      </c>
      <c r="C56" s="72">
        <f t="shared" ref="C56" si="100">SUM(C54:C55)</f>
        <v>7950</v>
      </c>
      <c r="D56" s="72">
        <f t="shared" ref="D56" si="101">SUM(D54:D55)</f>
        <v>7250</v>
      </c>
      <c r="E56" s="72">
        <f t="shared" ref="E56" si="102">SUM(E54:E55)</f>
        <v>7500</v>
      </c>
      <c r="F56" s="72">
        <f t="shared" ref="F56" si="103">SUM(F54:F55)</f>
        <v>7500</v>
      </c>
      <c r="G56" s="72">
        <f t="shared" ref="G56" si="104">SUM(G54:G55)</f>
        <v>6000</v>
      </c>
      <c r="H56" s="72">
        <f t="shared" ref="H56" si="105">SUM(H54:H55)</f>
        <v>10700</v>
      </c>
      <c r="I56" s="72">
        <f t="shared" ref="I56" si="106">SUM(I54:I55)</f>
        <v>12500</v>
      </c>
      <c r="J56" s="72">
        <f t="shared" ref="J56" si="107">SUM(J54:J55)</f>
        <v>6000</v>
      </c>
      <c r="K56" s="72">
        <f t="shared" ref="K56" si="108">SUM(K54:K55)</f>
        <v>6000</v>
      </c>
      <c r="L56" s="72">
        <f t="shared" ref="L56" si="109">SUM(L54:L55)</f>
        <v>8900</v>
      </c>
      <c r="M56" s="72">
        <f t="shared" ref="M56" si="110">SUM(M54:M55)</f>
        <v>18600</v>
      </c>
      <c r="N56" s="72">
        <f t="shared" ref="N56" si="111">SUM(N54:N55)</f>
        <v>117900</v>
      </c>
    </row>
    <row r="57" spans="1:14" ht="12.75" customHeight="1" x14ac:dyDescent="0.2">
      <c r="A57" s="67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ht="12.75" customHeight="1" x14ac:dyDescent="0.2">
      <c r="A58" s="67" t="s">
        <v>175</v>
      </c>
      <c r="B58" s="105">
        <v>0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72">
        <f>SUM(B58:M58)</f>
        <v>0</v>
      </c>
    </row>
    <row r="59" spans="1:14" ht="12.75" customHeight="1" x14ac:dyDescent="0.2">
      <c r="A59" s="67" t="s">
        <v>176</v>
      </c>
      <c r="B59" s="121">
        <f>B47/4</f>
        <v>19000</v>
      </c>
      <c r="C59" s="121">
        <f t="shared" ref="C59:M59" si="112">C47/4</f>
        <v>7950</v>
      </c>
      <c r="D59" s="121">
        <f t="shared" si="112"/>
        <v>7250</v>
      </c>
      <c r="E59" s="121">
        <f t="shared" si="112"/>
        <v>7500</v>
      </c>
      <c r="F59" s="121">
        <f t="shared" si="112"/>
        <v>7500</v>
      </c>
      <c r="G59" s="121">
        <f t="shared" si="112"/>
        <v>6000</v>
      </c>
      <c r="H59" s="121">
        <f t="shared" si="112"/>
        <v>10700</v>
      </c>
      <c r="I59" s="121">
        <f t="shared" si="112"/>
        <v>12500</v>
      </c>
      <c r="J59" s="121">
        <f t="shared" si="112"/>
        <v>6000</v>
      </c>
      <c r="K59" s="121">
        <f t="shared" si="112"/>
        <v>6000</v>
      </c>
      <c r="L59" s="121">
        <f t="shared" si="112"/>
        <v>8900</v>
      </c>
      <c r="M59" s="121">
        <f t="shared" si="112"/>
        <v>18600</v>
      </c>
      <c r="N59" s="121">
        <f t="shared" ref="N59" si="113">SUM(B59:M59)</f>
        <v>117900</v>
      </c>
    </row>
    <row r="60" spans="1:14" ht="12.75" customHeight="1" x14ac:dyDescent="0.2">
      <c r="A60" s="67" t="s">
        <v>115</v>
      </c>
      <c r="B60" s="72">
        <f>SUM(B58:B59)</f>
        <v>19000</v>
      </c>
      <c r="C60" s="72">
        <f t="shared" ref="C60" si="114">SUM(C58:C59)</f>
        <v>7950</v>
      </c>
      <c r="D60" s="72">
        <f t="shared" ref="D60" si="115">SUM(D58:D59)</f>
        <v>7250</v>
      </c>
      <c r="E60" s="72">
        <f t="shared" ref="E60" si="116">SUM(E58:E59)</f>
        <v>7500</v>
      </c>
      <c r="F60" s="72">
        <f t="shared" ref="F60" si="117">SUM(F58:F59)</f>
        <v>7500</v>
      </c>
      <c r="G60" s="72">
        <f t="shared" ref="G60" si="118">SUM(G58:G59)</f>
        <v>6000</v>
      </c>
      <c r="H60" s="72">
        <f t="shared" ref="H60" si="119">SUM(H58:H59)</f>
        <v>10700</v>
      </c>
      <c r="I60" s="72">
        <f t="shared" ref="I60" si="120">SUM(I58:I59)</f>
        <v>12500</v>
      </c>
      <c r="J60" s="72">
        <f t="shared" ref="J60" si="121">SUM(J58:J59)</f>
        <v>6000</v>
      </c>
      <c r="K60" s="72">
        <f t="shared" ref="K60" si="122">SUM(K58:K59)</f>
        <v>6000</v>
      </c>
      <c r="L60" s="72">
        <f t="shared" ref="L60" si="123">SUM(L58:L59)</f>
        <v>8900</v>
      </c>
      <c r="M60" s="72">
        <f t="shared" ref="M60" si="124">SUM(M58:M59)</f>
        <v>18600</v>
      </c>
      <c r="N60" s="72">
        <f t="shared" ref="N60" si="125">SUM(N58:N59)</f>
        <v>117900</v>
      </c>
    </row>
    <row r="61" spans="1:14" ht="12.75" customHeight="1" x14ac:dyDescent="0.2">
      <c r="A61" s="67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1:14" ht="12.75" customHeight="1" x14ac:dyDescent="0.2">
      <c r="A62" s="67" t="s">
        <v>177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72">
        <f>SUM(B62:M62)</f>
        <v>0</v>
      </c>
    </row>
    <row r="63" spans="1:14" ht="12.75" customHeight="1" x14ac:dyDescent="0.2">
      <c r="A63" s="67" t="s">
        <v>178</v>
      </c>
      <c r="B63" s="121">
        <f>B47/4*3</f>
        <v>57000</v>
      </c>
      <c r="C63" s="121">
        <f t="shared" ref="C63:M63" si="126">C47/4*3</f>
        <v>23850</v>
      </c>
      <c r="D63" s="121">
        <f t="shared" si="126"/>
        <v>21750</v>
      </c>
      <c r="E63" s="121">
        <f t="shared" si="126"/>
        <v>22500</v>
      </c>
      <c r="F63" s="121">
        <f t="shared" si="126"/>
        <v>22500</v>
      </c>
      <c r="G63" s="121">
        <f t="shared" si="126"/>
        <v>18000</v>
      </c>
      <c r="H63" s="121">
        <f t="shared" si="126"/>
        <v>32100</v>
      </c>
      <c r="I63" s="121">
        <f t="shared" si="126"/>
        <v>37500</v>
      </c>
      <c r="J63" s="121">
        <f t="shared" si="126"/>
        <v>18000</v>
      </c>
      <c r="K63" s="121">
        <f t="shared" si="126"/>
        <v>18000</v>
      </c>
      <c r="L63" s="121">
        <f t="shared" si="126"/>
        <v>26700</v>
      </c>
      <c r="M63" s="121">
        <f t="shared" si="126"/>
        <v>55800</v>
      </c>
      <c r="N63" s="121">
        <f t="shared" ref="N63" si="127">SUM(B63:M63)</f>
        <v>353700</v>
      </c>
    </row>
    <row r="64" spans="1:14" ht="12.75" customHeight="1" x14ac:dyDescent="0.2">
      <c r="A64" s="67" t="s">
        <v>115</v>
      </c>
      <c r="B64" s="72">
        <f>SUM(B62:B63)</f>
        <v>57000</v>
      </c>
      <c r="C64" s="72">
        <f t="shared" ref="C64" si="128">SUM(C62:C63)</f>
        <v>23850</v>
      </c>
      <c r="D64" s="72">
        <f t="shared" ref="D64" si="129">SUM(D62:D63)</f>
        <v>21750</v>
      </c>
      <c r="E64" s="72">
        <f t="shared" ref="E64" si="130">SUM(E62:E63)</f>
        <v>22500</v>
      </c>
      <c r="F64" s="72">
        <f t="shared" ref="F64" si="131">SUM(F62:F63)</f>
        <v>22500</v>
      </c>
      <c r="G64" s="72">
        <f t="shared" ref="G64" si="132">SUM(G62:G63)</f>
        <v>18000</v>
      </c>
      <c r="H64" s="72">
        <f t="shared" ref="H64" si="133">SUM(H62:H63)</f>
        <v>32100</v>
      </c>
      <c r="I64" s="72">
        <f t="shared" ref="I64" si="134">SUM(I62:I63)</f>
        <v>37500</v>
      </c>
      <c r="J64" s="72">
        <f t="shared" ref="J64" si="135">SUM(J62:J63)</f>
        <v>18000</v>
      </c>
      <c r="K64" s="72">
        <f t="shared" ref="K64" si="136">SUM(K62:K63)</f>
        <v>18000</v>
      </c>
      <c r="L64" s="72">
        <f t="shared" ref="L64" si="137">SUM(L62:L63)</f>
        <v>26700</v>
      </c>
      <c r="M64" s="72">
        <f t="shared" ref="M64" si="138">SUM(M62:M63)</f>
        <v>55800</v>
      </c>
      <c r="N64" s="72">
        <f t="shared" ref="N64" si="139">SUM(N62:N63)</f>
        <v>353700</v>
      </c>
    </row>
    <row r="65" spans="1:14" ht="12.75" customHeight="1" x14ac:dyDescent="0.2">
      <c r="A65" s="67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2.75" customHeight="1" x14ac:dyDescent="0.2">
      <c r="A66" s="67" t="s">
        <v>154</v>
      </c>
      <c r="B66" s="105">
        <f>'[4]SPA-WELLINGTON'!$R$8</f>
        <v>192000</v>
      </c>
      <c r="C66" s="105">
        <f>'[4]SPA-WELLINGTON'!$R$9</f>
        <v>192000</v>
      </c>
      <c r="D66" s="105">
        <f>'[4]SPA-WELLINGTON'!$R$10</f>
        <v>192000</v>
      </c>
      <c r="E66" s="105">
        <f>'[4]SPA-WELLINGTON'!$R$11</f>
        <v>168000</v>
      </c>
      <c r="F66" s="105">
        <f>'[4]SPA-WELLINGTON'!$R$12</f>
        <v>172000</v>
      </c>
      <c r="G66" s="105">
        <f>'[4]SPA-WELLINGTON'!$R$13</f>
        <v>228000</v>
      </c>
      <c r="H66" s="105">
        <f>'[4]SPA-WELLINGTON'!$R$14</f>
        <v>456000</v>
      </c>
      <c r="I66" s="105">
        <f>'[4]SPA-WELLINGTON'!$R$15</f>
        <v>448000</v>
      </c>
      <c r="J66" s="105">
        <f>'[4]SPA-WELLINGTON'!$R$16</f>
        <v>228000</v>
      </c>
      <c r="K66" s="105">
        <f>'[4]SPA-WELLINGTON'!$R$17</f>
        <v>161000</v>
      </c>
      <c r="L66" s="105">
        <f>'[4]SPA-WELLINGTON'!$R$18</f>
        <v>181000</v>
      </c>
      <c r="M66" s="105">
        <f>'[4]SPA-WELLINGTON'!$R$19</f>
        <v>184000</v>
      </c>
      <c r="N66" s="72">
        <f>SUM(B66:M66)</f>
        <v>2802000</v>
      </c>
    </row>
    <row r="67" spans="1:14" ht="12.75" customHeight="1" x14ac:dyDescent="0.2">
      <c r="A67" s="67" t="s">
        <v>167</v>
      </c>
      <c r="B67" s="73">
        <f>'[5]SPA-WELLINGTON'!$R$8</f>
        <v>184000</v>
      </c>
      <c r="C67" s="73">
        <f>'[5]SPA-WELLINGTON'!$R$9</f>
        <v>184000</v>
      </c>
      <c r="D67" s="73">
        <f>'[5]SPA-WELLINGTON'!$R$10</f>
        <v>184000</v>
      </c>
      <c r="E67" s="73">
        <f>'[5]SPA-WELLINGTON'!$R$11</f>
        <v>161000</v>
      </c>
      <c r="F67" s="73">
        <f>'[5]SPA-WELLINGTON'!$R$12</f>
        <v>161000</v>
      </c>
      <c r="G67" s="73">
        <f>'[5]SPA-WELLINGTON'!$R$13</f>
        <v>230000</v>
      </c>
      <c r="H67" s="73">
        <f>'[5]SPA-WELLINGTON'!$R$14</f>
        <v>460000</v>
      </c>
      <c r="I67" s="73">
        <f>'[5]SPA-WELLINGTON'!$R$15</f>
        <v>459000</v>
      </c>
      <c r="J67" s="73">
        <f>'[5]SPA-WELLINGTON'!$R$16</f>
        <v>230000</v>
      </c>
      <c r="K67" s="73">
        <f>'[5]SPA-WELLINGTON'!$R$17</f>
        <v>161000</v>
      </c>
      <c r="L67" s="73">
        <f>'[5]SPA-WELLINGTON'!$R$18</f>
        <v>161000</v>
      </c>
      <c r="M67" s="73">
        <f>'[5]SPA-WELLINGTON'!$R$19</f>
        <v>184000</v>
      </c>
      <c r="N67" s="73">
        <f t="shared" ref="N67:N68" si="140">SUM(B67:M67)</f>
        <v>2759000</v>
      </c>
    </row>
    <row r="68" spans="1:14" ht="12.75" customHeight="1" x14ac:dyDescent="0.2">
      <c r="A68" s="67" t="s">
        <v>115</v>
      </c>
      <c r="B68" s="72">
        <f>SUM(B66:B67)/2</f>
        <v>188000</v>
      </c>
      <c r="C68" s="72">
        <f t="shared" ref="C68" si="141">SUM(C66:C67)/2</f>
        <v>188000</v>
      </c>
      <c r="D68" s="72">
        <f t="shared" ref="D68" si="142">SUM(D66:D67)/2</f>
        <v>188000</v>
      </c>
      <c r="E68" s="72">
        <f t="shared" ref="E68" si="143">SUM(E66:E67)/2</f>
        <v>164500</v>
      </c>
      <c r="F68" s="72">
        <f t="shared" ref="F68" si="144">SUM(F66:F67)/2</f>
        <v>166500</v>
      </c>
      <c r="G68" s="72">
        <f t="shared" ref="G68" si="145">SUM(G66:G67)/2</f>
        <v>229000</v>
      </c>
      <c r="H68" s="72">
        <f t="shared" ref="H68" si="146">SUM(H66:H67)/2</f>
        <v>458000</v>
      </c>
      <c r="I68" s="72">
        <f t="shared" ref="I68" si="147">SUM(I66:I67)/2</f>
        <v>453500</v>
      </c>
      <c r="J68" s="72">
        <f t="shared" ref="J68" si="148">SUM(J66:J67)/2</f>
        <v>229000</v>
      </c>
      <c r="K68" s="72">
        <f t="shared" ref="K68" si="149">SUM(K66:K67)/2</f>
        <v>161000</v>
      </c>
      <c r="L68" s="72">
        <f t="shared" ref="L68" si="150">SUM(L66:L67)/2</f>
        <v>171000</v>
      </c>
      <c r="M68" s="72">
        <f t="shared" ref="M68" si="151">SUM(M66:M67)/2</f>
        <v>184000</v>
      </c>
      <c r="N68" s="72">
        <f t="shared" si="140"/>
        <v>2780500</v>
      </c>
    </row>
    <row r="69" spans="1:14" ht="12.75" customHeight="1" x14ac:dyDescent="0.2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ht="12.75" customHeight="1" x14ac:dyDescent="0.2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1:14" ht="12.75" customHeight="1" x14ac:dyDescent="0.2">
      <c r="A71" s="78" t="s">
        <v>117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x14ac:dyDescent="0.2">
      <c r="A72" s="67" t="s">
        <v>145</v>
      </c>
      <c r="B72" s="105">
        <f>'[4]SPA-AUGUSTA'!$X$8</f>
        <v>12000</v>
      </c>
      <c r="C72" s="105">
        <f>'[4]SPA-AUGUSTA'!$X$9</f>
        <v>75000</v>
      </c>
      <c r="D72" s="105">
        <f>'[4]SPA-AUGUSTA'!$X$10</f>
        <v>90000</v>
      </c>
      <c r="E72" s="105">
        <f>'[4]SPA-AUGUSTA'!$X$11</f>
        <v>144000</v>
      </c>
      <c r="F72" s="105">
        <f>'[4]SPA-AUGUSTA'!$X$12</f>
        <v>0</v>
      </c>
      <c r="G72" s="105">
        <f>'[4]SPA-AUGUSTA'!$X$13</f>
        <v>0</v>
      </c>
      <c r="H72" s="105">
        <f>'[4]SPA-AUGUSTA'!$X$14</f>
        <v>0</v>
      </c>
      <c r="I72" s="105">
        <f>'[4]SPA-AUGUSTA'!$X$15</f>
        <v>0</v>
      </c>
      <c r="J72" s="105">
        <f>'[4]SPA-AUGUSTA'!$X$16</f>
        <v>0</v>
      </c>
      <c r="K72" s="105">
        <f>'[4]SPA-AUGUSTA'!$X$17</f>
        <v>0</v>
      </c>
      <c r="L72" s="105">
        <f>'[4]SPA-AUGUSTA'!$X$18</f>
        <v>0</v>
      </c>
      <c r="M72" s="105">
        <f>'[4]SPA-AUGUSTA'!$X$19</f>
        <v>0</v>
      </c>
      <c r="N72" s="72">
        <f>SUM(B72:M72)</f>
        <v>321000</v>
      </c>
    </row>
    <row r="73" spans="1:14" x14ac:dyDescent="0.2">
      <c r="A73" s="67" t="s">
        <v>158</v>
      </c>
      <c r="B73" s="73">
        <f>'[5]SPA-AUGUSTA'!$X$8</f>
        <v>0</v>
      </c>
      <c r="C73" s="73">
        <f>'[5]SPA-AUGUSTA'!$X$9</f>
        <v>0</v>
      </c>
      <c r="D73" s="73">
        <f>'[5]SPA-AUGUSTA'!$X$10</f>
        <v>0</v>
      </c>
      <c r="E73" s="73">
        <f>'[5]SPA-AUGUSTA'!$X$11</f>
        <v>87000</v>
      </c>
      <c r="F73" s="73">
        <f>'[5]SPA-AUGUSTA'!$X$12</f>
        <v>151000</v>
      </c>
      <c r="G73" s="73">
        <f>'[5]SPA-AUGUSTA'!$X$13</f>
        <v>164000</v>
      </c>
      <c r="H73" s="73">
        <f>'[5]SPA-AUGUSTA'!$X$14</f>
        <v>25000</v>
      </c>
      <c r="I73" s="73">
        <f>'[5]SPA-AUGUSTA'!$X$15</f>
        <v>132000</v>
      </c>
      <c r="J73" s="73">
        <f>'[5]SPA-AUGUSTA'!$X$16</f>
        <v>48000</v>
      </c>
      <c r="K73" s="73">
        <f>'[5]SPA-AUGUSTA'!$X$17</f>
        <v>0</v>
      </c>
      <c r="L73" s="73">
        <f>'[5]SPA-AUGUSTA'!$X$18</f>
        <v>0</v>
      </c>
      <c r="M73" s="73">
        <f>'[5]SPA-AUGUSTA'!$X$19</f>
        <v>0</v>
      </c>
      <c r="N73" s="73">
        <f t="shared" ref="N73:N74" si="152">SUM(B73:M73)</f>
        <v>607000</v>
      </c>
    </row>
    <row r="74" spans="1:14" x14ac:dyDescent="0.2">
      <c r="A74" s="67" t="s">
        <v>115</v>
      </c>
      <c r="B74" s="72">
        <f>B73</f>
        <v>0</v>
      </c>
      <c r="C74" s="72">
        <f t="shared" ref="C74:F74" si="153">C73</f>
        <v>0</v>
      </c>
      <c r="D74" s="72">
        <f t="shared" si="153"/>
        <v>0</v>
      </c>
      <c r="E74" s="72">
        <f t="shared" si="153"/>
        <v>87000</v>
      </c>
      <c r="F74" s="72">
        <f t="shared" si="153"/>
        <v>151000</v>
      </c>
      <c r="G74" s="72">
        <f>SUM(G72:G73)/2</f>
        <v>82000</v>
      </c>
      <c r="H74" s="72">
        <f t="shared" ref="H74:M74" si="154">SUM(H72:H73)/2</f>
        <v>12500</v>
      </c>
      <c r="I74" s="72">
        <f t="shared" si="154"/>
        <v>66000</v>
      </c>
      <c r="J74" s="72">
        <f t="shared" si="154"/>
        <v>24000</v>
      </c>
      <c r="K74" s="72">
        <f t="shared" si="154"/>
        <v>0</v>
      </c>
      <c r="L74" s="72">
        <f t="shared" si="154"/>
        <v>0</v>
      </c>
      <c r="M74" s="72">
        <f t="shared" si="154"/>
        <v>0</v>
      </c>
      <c r="N74" s="72">
        <f t="shared" si="152"/>
        <v>422500</v>
      </c>
    </row>
    <row r="75" spans="1:14" x14ac:dyDescent="0.2">
      <c r="A75" s="67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1:14" x14ac:dyDescent="0.2">
      <c r="A76" s="67" t="s">
        <v>146</v>
      </c>
      <c r="B76" s="72">
        <f>((B72+B100+B104)/3)/6</f>
        <v>2000</v>
      </c>
      <c r="C76" s="72">
        <f>((C72+C100+C104)/3)/6</f>
        <v>12500</v>
      </c>
      <c r="D76" s="72">
        <f>((D72+D100+D104)/3)/6</f>
        <v>16555.555555555555</v>
      </c>
      <c r="E76" s="72">
        <f>((E72+E100+E104)/3)/6</f>
        <v>24000</v>
      </c>
      <c r="F76" s="72">
        <f>((F72+F100+F104)/3)/6</f>
        <v>0</v>
      </c>
      <c r="G76" s="72">
        <f>'[4]SPA-BALDWIN'!$X$13</f>
        <v>0</v>
      </c>
      <c r="H76" s="72">
        <f>'[4]SPA-BALDWIN'!$X$14</f>
        <v>0</v>
      </c>
      <c r="I76" s="72">
        <f>'[4]SPA-BALDWIN'!$X$15</f>
        <v>0</v>
      </c>
      <c r="J76" s="72">
        <f>'[4]SPA-BALDWIN'!$X$16</f>
        <v>0</v>
      </c>
      <c r="K76" s="72">
        <f>'[4]SPA-BALDWIN'!$X$17</f>
        <v>0</v>
      </c>
      <c r="L76" s="72">
        <f>'[4]SPA-BALDWIN'!$X$18</f>
        <v>0</v>
      </c>
      <c r="M76" s="72">
        <f>'[4]SPA-BALDWIN'!$X$19</f>
        <v>0</v>
      </c>
      <c r="N76" s="72">
        <f>SUM(B76:M76)</f>
        <v>55055.555555555555</v>
      </c>
    </row>
    <row r="77" spans="1:14" x14ac:dyDescent="0.2">
      <c r="A77" s="67" t="s">
        <v>159</v>
      </c>
      <c r="B77" s="73">
        <f>'[5]SPA-BALDWIN'!$X$8</f>
        <v>0</v>
      </c>
      <c r="C77" s="73">
        <f>'[5]SPA-BALDWIN'!$X$9</f>
        <v>0</v>
      </c>
      <c r="D77" s="73">
        <f>'[5]SPA-BALDWIN'!$X$10</f>
        <v>0</v>
      </c>
      <c r="E77" s="73">
        <f>'[5]SPA-BALDWIN'!$X$11</f>
        <v>37700</v>
      </c>
      <c r="F77" s="73">
        <f>'[5]SPA-BALDWIN'!$X$12</f>
        <v>63500</v>
      </c>
      <c r="G77" s="73">
        <f>'[5]SPA-BALDWIN'!$X$13</f>
        <v>55800</v>
      </c>
      <c r="H77" s="73">
        <f>'[5]SPA-BALDWIN'!$X$14</f>
        <v>7500</v>
      </c>
      <c r="I77" s="73">
        <f>'[5]SPA-BALDWIN'!$X$15</f>
        <v>42100</v>
      </c>
      <c r="J77" s="73">
        <f>'[5]SPA-BALDWIN'!$X$16</f>
        <v>17700</v>
      </c>
      <c r="K77" s="73">
        <f>'[5]SPA-BALDWIN'!$X$17</f>
        <v>0</v>
      </c>
      <c r="L77" s="73">
        <f>'[5]SPA-BALDWIN'!$X$18</f>
        <v>0</v>
      </c>
      <c r="M77" s="73">
        <f>'[5]SPA-BALDWIN'!$X$19</f>
        <v>0</v>
      </c>
      <c r="N77" s="73">
        <f>SUM(B77:M77)</f>
        <v>224300</v>
      </c>
    </row>
    <row r="78" spans="1:14" x14ac:dyDescent="0.2">
      <c r="A78" s="67" t="s">
        <v>115</v>
      </c>
      <c r="B78" s="72">
        <f>SUM(B76:B77)/2</f>
        <v>1000</v>
      </c>
      <c r="C78" s="72">
        <f t="shared" ref="C78:N78" si="155">SUM(C76:C77)/2</f>
        <v>6250</v>
      </c>
      <c r="D78" s="72">
        <f t="shared" si="155"/>
        <v>8277.7777777777774</v>
      </c>
      <c r="E78" s="72">
        <f t="shared" si="155"/>
        <v>30850</v>
      </c>
      <c r="F78" s="72">
        <f t="shared" si="155"/>
        <v>31750</v>
      </c>
      <c r="G78" s="72">
        <f t="shared" si="155"/>
        <v>27900</v>
      </c>
      <c r="H78" s="72">
        <f t="shared" si="155"/>
        <v>3750</v>
      </c>
      <c r="I78" s="72">
        <f t="shared" si="155"/>
        <v>21050</v>
      </c>
      <c r="J78" s="72">
        <f t="shared" si="155"/>
        <v>8850</v>
      </c>
      <c r="K78" s="72">
        <f t="shared" si="155"/>
        <v>0</v>
      </c>
      <c r="L78" s="72">
        <f t="shared" si="155"/>
        <v>0</v>
      </c>
      <c r="M78" s="72">
        <f t="shared" si="155"/>
        <v>0</v>
      </c>
      <c r="N78" s="72">
        <f t="shared" si="155"/>
        <v>139677.77777777778</v>
      </c>
    </row>
    <row r="79" spans="1:14" x14ac:dyDescent="0.2">
      <c r="A79" s="67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</row>
    <row r="80" spans="1:14" x14ac:dyDescent="0.2">
      <c r="A80" s="67" t="s">
        <v>147</v>
      </c>
      <c r="B80" s="105">
        <f>'[4]SPA-CHANUTE'!$X$8</f>
        <v>31000</v>
      </c>
      <c r="C80" s="105">
        <f>'[4]SPA-CHANUTE'!$X$9</f>
        <v>186000</v>
      </c>
      <c r="D80" s="105">
        <f>'[4]SPA-CHANUTE'!$X$10</f>
        <v>230000</v>
      </c>
      <c r="E80" s="105">
        <f>'[4]SPA-CHANUTE'!$X$11</f>
        <v>360000</v>
      </c>
      <c r="F80" s="105">
        <f>'[4]SPA-CHANUTE'!$X$12</f>
        <v>0</v>
      </c>
      <c r="G80" s="105">
        <f>'[4]SPA-CHANUTE'!$X$13</f>
        <v>0</v>
      </c>
      <c r="H80" s="105">
        <f>'[4]SPA-CHANUTE'!$X$14</f>
        <v>0</v>
      </c>
      <c r="I80" s="105">
        <f>'[4]SPA-CHANUTE'!$X$15</f>
        <v>0</v>
      </c>
      <c r="J80" s="105">
        <f>'[4]SPA-CHANUTE'!$X$16</f>
        <v>0</v>
      </c>
      <c r="K80" s="105">
        <f>'[4]SPA-CHANUTE'!$X$17</f>
        <v>0</v>
      </c>
      <c r="L80" s="105">
        <f>'[4]SPA-CHANUTE'!$X$18</f>
        <v>0</v>
      </c>
      <c r="M80" s="105">
        <f>'[4]SPA-CHANUTE'!$X$19</f>
        <v>0</v>
      </c>
      <c r="N80" s="72">
        <f>SUM(B80:M80)</f>
        <v>807000</v>
      </c>
    </row>
    <row r="81" spans="1:14" x14ac:dyDescent="0.2">
      <c r="A81" s="67" t="s">
        <v>160</v>
      </c>
      <c r="B81" s="73">
        <f>'[5]SPA-CHANUTE'!$X$8</f>
        <v>0</v>
      </c>
      <c r="C81" s="73">
        <f>'[5]SPA-CHANUTE'!$X$9</f>
        <v>0</v>
      </c>
      <c r="D81" s="73">
        <f>'[5]SPA-CHANUTE'!$X$10</f>
        <v>0</v>
      </c>
      <c r="E81" s="73">
        <f>'[5]SPA-CHANUTE'!$X$11</f>
        <v>220000</v>
      </c>
      <c r="F81" s="73">
        <f>'[5]SPA-CHANUTE'!$X$12</f>
        <v>366000</v>
      </c>
      <c r="G81" s="73">
        <f>'[5]SPA-CHANUTE'!$X$13</f>
        <v>387000</v>
      </c>
      <c r="H81" s="73">
        <f>'[5]SPA-CHANUTE'!$X$14</f>
        <v>60000</v>
      </c>
      <c r="I81" s="73">
        <f>'[5]SPA-CHANUTE'!$X$15</f>
        <v>321000</v>
      </c>
      <c r="J81" s="73">
        <f>'[5]SPA-CHANUTE'!$X$16</f>
        <v>111000</v>
      </c>
      <c r="K81" s="73">
        <f>'[5]SPA-CHANUTE'!$X$17</f>
        <v>0</v>
      </c>
      <c r="L81" s="73">
        <f>'[5]SPA-CHANUTE'!$X$18</f>
        <v>0</v>
      </c>
      <c r="M81" s="73">
        <f>'[5]SPA-CHANUTE'!$X$19</f>
        <v>0</v>
      </c>
      <c r="N81" s="73">
        <f t="shared" ref="N81:N82" si="156">SUM(B81:M81)</f>
        <v>1465000</v>
      </c>
    </row>
    <row r="82" spans="1:14" x14ac:dyDescent="0.2">
      <c r="A82" s="67" t="s">
        <v>115</v>
      </c>
      <c r="B82" s="72">
        <f>SUM(B80:B81)/2</f>
        <v>15500</v>
      </c>
      <c r="C82" s="72">
        <f t="shared" ref="C82:M82" si="157">SUM(C80:C81)/2</f>
        <v>93000</v>
      </c>
      <c r="D82" s="72">
        <f t="shared" si="157"/>
        <v>115000</v>
      </c>
      <c r="E82" s="72">
        <f t="shared" si="157"/>
        <v>290000</v>
      </c>
      <c r="F82" s="72">
        <f t="shared" si="157"/>
        <v>183000</v>
      </c>
      <c r="G82" s="72">
        <f t="shared" si="157"/>
        <v>193500</v>
      </c>
      <c r="H82" s="72">
        <f t="shared" si="157"/>
        <v>30000</v>
      </c>
      <c r="I82" s="72">
        <f t="shared" si="157"/>
        <v>160500</v>
      </c>
      <c r="J82" s="72">
        <f t="shared" si="157"/>
        <v>55500</v>
      </c>
      <c r="K82" s="72">
        <f t="shared" si="157"/>
        <v>0</v>
      </c>
      <c r="L82" s="72">
        <f t="shared" si="157"/>
        <v>0</v>
      </c>
      <c r="M82" s="72">
        <f t="shared" si="157"/>
        <v>0</v>
      </c>
      <c r="N82" s="72">
        <f t="shared" si="156"/>
        <v>1136000</v>
      </c>
    </row>
    <row r="83" spans="1:14" x14ac:dyDescent="0.2">
      <c r="A83" s="67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1:14" x14ac:dyDescent="0.2">
      <c r="A84" s="67" t="s">
        <v>148</v>
      </c>
      <c r="B84" s="105">
        <f>'[4]SPA-GARNETT'!$X$8</f>
        <v>12000</v>
      </c>
      <c r="C84" s="105">
        <f>'[4]SPA-GARNETT'!$X$9</f>
        <v>83250</v>
      </c>
      <c r="D84" s="105">
        <f>'[4]SPA-GARNETT'!$X$10</f>
        <v>55750</v>
      </c>
      <c r="E84" s="105">
        <f>'[4]SPA-GARNETT'!$X$11</f>
        <v>100000</v>
      </c>
      <c r="F84" s="105">
        <f>'[4]SPA-GARNETT'!$X$12</f>
        <v>0</v>
      </c>
      <c r="G84" s="105">
        <f>'[4]SPA-GARNETT'!$X$13</f>
        <v>0</v>
      </c>
      <c r="H84" s="105">
        <f>'[4]SPA-GARNETT'!$X$14</f>
        <v>0</v>
      </c>
      <c r="I84" s="105">
        <f>'[4]SPA-GARNETT'!$X$15</f>
        <v>0</v>
      </c>
      <c r="J84" s="105">
        <f>'[4]SPA-GARNETT'!$X$16</f>
        <v>0</v>
      </c>
      <c r="K84" s="105">
        <f>'[4]SPA-GARNETT'!$X$17</f>
        <v>0</v>
      </c>
      <c r="L84" s="105">
        <f>'[4]SPA-GARNETT'!$X$18</f>
        <v>0</v>
      </c>
      <c r="M84" s="105">
        <f>'[4]SPA-GARNETT'!$X$19</f>
        <v>0</v>
      </c>
      <c r="N84" s="72">
        <f>SUM(B84:M84)</f>
        <v>251000</v>
      </c>
    </row>
    <row r="85" spans="1:14" x14ac:dyDescent="0.2">
      <c r="A85" s="67" t="s">
        <v>161</v>
      </c>
      <c r="B85" s="73">
        <f>'[5]SPA-GARNETT'!$X$8</f>
        <v>0</v>
      </c>
      <c r="C85" s="73">
        <f>'[5]SPA-GARNETT'!$X$9</f>
        <v>0</v>
      </c>
      <c r="D85" s="73">
        <f>'[5]SPA-GARNETT'!$X$10</f>
        <v>0</v>
      </c>
      <c r="E85" s="73">
        <f>'[5]SPA-GARNETT'!$X$11</f>
        <v>75400</v>
      </c>
      <c r="F85" s="73">
        <f>'[5]SPA-GARNETT'!$X$12</f>
        <v>127000</v>
      </c>
      <c r="G85" s="73">
        <f>'[5]SPA-GARNETT'!$X$13</f>
        <v>111600</v>
      </c>
      <c r="H85" s="73">
        <f>'[5]SPA-GARNETT'!$X$14</f>
        <v>15000</v>
      </c>
      <c r="I85" s="73">
        <f>'[5]SPA-GARNETT'!$X$15</f>
        <v>84200</v>
      </c>
      <c r="J85" s="73">
        <f>'[5]SPA-GARNETT'!$X$16</f>
        <v>35400</v>
      </c>
      <c r="K85" s="73">
        <f>'[5]SPA-GARNETT'!$X$17</f>
        <v>0</v>
      </c>
      <c r="L85" s="73">
        <f>'[5]SPA-GARNETT'!$X$18</f>
        <v>0</v>
      </c>
      <c r="M85" s="73">
        <f>'[5]SPA-GARNETT'!$X$19</f>
        <v>0</v>
      </c>
      <c r="N85" s="73">
        <f t="shared" ref="N85:N86" si="158">SUM(B85:M85)</f>
        <v>448600</v>
      </c>
    </row>
    <row r="86" spans="1:14" x14ac:dyDescent="0.2">
      <c r="A86" s="67" t="s">
        <v>115</v>
      </c>
      <c r="B86" s="72">
        <f>SUM(B84:B85)/2</f>
        <v>6000</v>
      </c>
      <c r="C86" s="72">
        <f t="shared" ref="C86" si="159">SUM(C84:C85)/2</f>
        <v>41625</v>
      </c>
      <c r="D86" s="72">
        <f t="shared" ref="D86" si="160">SUM(D84:D85)/2</f>
        <v>27875</v>
      </c>
      <c r="E86" s="72">
        <f t="shared" ref="E86" si="161">SUM(E84:E85)/2</f>
        <v>87700</v>
      </c>
      <c r="F86" s="72">
        <f t="shared" ref="F86" si="162">SUM(F84:F85)/2</f>
        <v>63500</v>
      </c>
      <c r="G86" s="72">
        <f t="shared" ref="G86" si="163">SUM(G84:G85)/2</f>
        <v>55800</v>
      </c>
      <c r="H86" s="72">
        <f t="shared" ref="H86" si="164">SUM(H84:H85)/2</f>
        <v>7500</v>
      </c>
      <c r="I86" s="72">
        <f t="shared" ref="I86" si="165">SUM(I84:I85)/2</f>
        <v>42100</v>
      </c>
      <c r="J86" s="72">
        <f t="shared" ref="J86" si="166">SUM(J84:J85)/2</f>
        <v>17700</v>
      </c>
      <c r="K86" s="72">
        <f t="shared" ref="K86" si="167">SUM(K84:K85)/2</f>
        <v>0</v>
      </c>
      <c r="L86" s="72">
        <f t="shared" ref="L86" si="168">SUM(L84:L85)/2</f>
        <v>0</v>
      </c>
      <c r="M86" s="72">
        <f t="shared" ref="M86" si="169">SUM(M84:M85)/2</f>
        <v>0</v>
      </c>
      <c r="N86" s="72">
        <f t="shared" si="158"/>
        <v>349800</v>
      </c>
    </row>
    <row r="87" spans="1:14" x14ac:dyDescent="0.2">
      <c r="A87" s="67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1:14" x14ac:dyDescent="0.2">
      <c r="A88" s="67" t="s">
        <v>169</v>
      </c>
      <c r="B88" s="105">
        <v>0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72">
        <f>SUM(B88:M88)</f>
        <v>0</v>
      </c>
    </row>
    <row r="89" spans="1:14" x14ac:dyDescent="0.2">
      <c r="A89" s="67" t="s">
        <v>170</v>
      </c>
      <c r="B89" s="121">
        <f>B113/4*3</f>
        <v>0</v>
      </c>
      <c r="C89" s="121">
        <f t="shared" ref="C89:M89" si="170">C113/4*3</f>
        <v>0</v>
      </c>
      <c r="D89" s="121">
        <f t="shared" si="170"/>
        <v>0</v>
      </c>
      <c r="E89" s="121">
        <f t="shared" si="170"/>
        <v>56550</v>
      </c>
      <c r="F89" s="121">
        <f t="shared" si="170"/>
        <v>95250</v>
      </c>
      <c r="G89" s="121">
        <f t="shared" si="170"/>
        <v>83700</v>
      </c>
      <c r="H89" s="121">
        <f t="shared" si="170"/>
        <v>11250</v>
      </c>
      <c r="I89" s="121">
        <f t="shared" si="170"/>
        <v>63150</v>
      </c>
      <c r="J89" s="121">
        <f t="shared" si="170"/>
        <v>26550</v>
      </c>
      <c r="K89" s="121">
        <f t="shared" si="170"/>
        <v>0</v>
      </c>
      <c r="L89" s="121">
        <f t="shared" si="170"/>
        <v>0</v>
      </c>
      <c r="M89" s="121">
        <f t="shared" si="170"/>
        <v>0</v>
      </c>
      <c r="N89" s="121">
        <f t="shared" ref="N89" si="171">SUM(B89:M89)</f>
        <v>336450</v>
      </c>
    </row>
    <row r="90" spans="1:14" x14ac:dyDescent="0.2">
      <c r="A90" s="67" t="s">
        <v>115</v>
      </c>
      <c r="B90" s="72">
        <f>SUM(B88:B89)</f>
        <v>0</v>
      </c>
      <c r="C90" s="72">
        <f t="shared" ref="C90" si="172">SUM(C88:C89)</f>
        <v>0</v>
      </c>
      <c r="D90" s="72">
        <f t="shared" ref="D90" si="173">SUM(D88:D89)</f>
        <v>0</v>
      </c>
      <c r="E90" s="72">
        <f t="shared" ref="E90" si="174">SUM(E88:E89)</f>
        <v>56550</v>
      </c>
      <c r="F90" s="72">
        <f t="shared" ref="F90" si="175">SUM(F88:F89)</f>
        <v>95250</v>
      </c>
      <c r="G90" s="72">
        <f t="shared" ref="G90" si="176">SUM(G88:G89)</f>
        <v>83700</v>
      </c>
      <c r="H90" s="72">
        <f t="shared" ref="H90" si="177">SUM(H88:H89)</f>
        <v>11250</v>
      </c>
      <c r="I90" s="72">
        <f t="shared" ref="I90" si="178">SUM(I88:I89)</f>
        <v>63150</v>
      </c>
      <c r="J90" s="72">
        <f t="shared" ref="J90" si="179">SUM(J88:J89)</f>
        <v>26550</v>
      </c>
      <c r="K90" s="72">
        <f t="shared" ref="K90" si="180">SUM(K88:K89)</f>
        <v>0</v>
      </c>
      <c r="L90" s="72">
        <f t="shared" ref="L90" si="181">SUM(L88:L89)</f>
        <v>0</v>
      </c>
      <c r="M90" s="72">
        <f t="shared" ref="M90" si="182">SUM(M88:M89)</f>
        <v>0</v>
      </c>
      <c r="N90" s="72">
        <f t="shared" ref="N90" si="183">SUM(N88:N89)</f>
        <v>336450</v>
      </c>
    </row>
    <row r="91" spans="1:14" x14ac:dyDescent="0.2">
      <c r="A91" s="67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1:14" x14ac:dyDescent="0.2">
      <c r="A92" s="67" t="s">
        <v>171</v>
      </c>
      <c r="B92" s="105">
        <v>0</v>
      </c>
      <c r="C92" s="105"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72">
        <f>SUM(B92:M92)</f>
        <v>0</v>
      </c>
    </row>
    <row r="93" spans="1:14" x14ac:dyDescent="0.2">
      <c r="A93" s="67" t="s">
        <v>172</v>
      </c>
      <c r="B93" s="120">
        <f>B113/4*2</f>
        <v>0</v>
      </c>
      <c r="C93" s="120">
        <f t="shared" ref="C93:M93" si="184">C113/4*2</f>
        <v>0</v>
      </c>
      <c r="D93" s="120">
        <f t="shared" si="184"/>
        <v>0</v>
      </c>
      <c r="E93" s="120">
        <f t="shared" si="184"/>
        <v>37700</v>
      </c>
      <c r="F93" s="120">
        <f t="shared" si="184"/>
        <v>63500</v>
      </c>
      <c r="G93" s="120">
        <f t="shared" si="184"/>
        <v>55800</v>
      </c>
      <c r="H93" s="120">
        <f t="shared" si="184"/>
        <v>7500</v>
      </c>
      <c r="I93" s="120">
        <f t="shared" si="184"/>
        <v>42100</v>
      </c>
      <c r="J93" s="120">
        <f t="shared" si="184"/>
        <v>17700</v>
      </c>
      <c r="K93" s="120">
        <f t="shared" si="184"/>
        <v>0</v>
      </c>
      <c r="L93" s="120">
        <f t="shared" si="184"/>
        <v>0</v>
      </c>
      <c r="M93" s="120">
        <f t="shared" si="184"/>
        <v>0</v>
      </c>
      <c r="N93" s="120">
        <f t="shared" ref="N93" si="185">SUM(B93:M93)</f>
        <v>224300</v>
      </c>
    </row>
    <row r="94" spans="1:14" x14ac:dyDescent="0.2">
      <c r="A94" s="67" t="s">
        <v>115</v>
      </c>
      <c r="B94" s="72">
        <f>SUM(B92:B93)</f>
        <v>0</v>
      </c>
      <c r="C94" s="72">
        <f t="shared" ref="C94" si="186">SUM(C92:C93)</f>
        <v>0</v>
      </c>
      <c r="D94" s="72">
        <f t="shared" ref="D94" si="187">SUM(D92:D93)</f>
        <v>0</v>
      </c>
      <c r="E94" s="72">
        <f t="shared" ref="E94" si="188">SUM(E92:E93)</f>
        <v>37700</v>
      </c>
      <c r="F94" s="72">
        <f t="shared" ref="F94" si="189">SUM(F92:F93)</f>
        <v>63500</v>
      </c>
      <c r="G94" s="72">
        <f t="shared" ref="G94" si="190">SUM(G92:G93)</f>
        <v>55800</v>
      </c>
      <c r="H94" s="72">
        <f t="shared" ref="H94" si="191">SUM(H92:H93)</f>
        <v>7500</v>
      </c>
      <c r="I94" s="72">
        <f t="shared" ref="I94" si="192">SUM(I92:I93)</f>
        <v>42100</v>
      </c>
      <c r="J94" s="72">
        <f t="shared" ref="J94" si="193">SUM(J92:J93)</f>
        <v>17700</v>
      </c>
      <c r="K94" s="72">
        <f t="shared" ref="K94" si="194">SUM(K92:K93)</f>
        <v>0</v>
      </c>
      <c r="L94" s="72">
        <f t="shared" ref="L94" si="195">SUM(L92:L93)</f>
        <v>0</v>
      </c>
      <c r="M94" s="72">
        <f t="shared" ref="M94" si="196">SUM(M92:M93)</f>
        <v>0</v>
      </c>
      <c r="N94" s="72">
        <f t="shared" ref="N94" si="197">SUM(N92:N93)</f>
        <v>224300</v>
      </c>
    </row>
    <row r="95" spans="1:14" x14ac:dyDescent="0.2">
      <c r="A95" s="67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1:14" x14ac:dyDescent="0.2">
      <c r="A96" s="67" t="s">
        <v>149</v>
      </c>
      <c r="B96" s="105">
        <f>'[4]SPA-IOLA'!$X$8</f>
        <v>31000</v>
      </c>
      <c r="C96" s="105">
        <f>'[4]SPA-IOLA'!$X$9</f>
        <v>186000</v>
      </c>
      <c r="D96" s="105">
        <f>'[4]SPA-IOLA'!$X$10</f>
        <v>230000</v>
      </c>
      <c r="E96" s="105">
        <f>'[4]SPA-IOLA'!$X$11</f>
        <v>360000</v>
      </c>
      <c r="F96" s="105">
        <f>'[4]SPA-IOLA'!$X$12</f>
        <v>0</v>
      </c>
      <c r="G96" s="105">
        <f>'[4]SPA-IOLA'!$X$13</f>
        <v>0</v>
      </c>
      <c r="H96" s="105">
        <f>'[4]SPA-IOLA'!$X$14</f>
        <v>0</v>
      </c>
      <c r="I96" s="105">
        <f>'[4]SPA-IOLA'!$X$15</f>
        <v>0</v>
      </c>
      <c r="J96" s="105">
        <f>'[4]SPA-IOLA'!$X$16</f>
        <v>0</v>
      </c>
      <c r="K96" s="105">
        <f>'[4]SPA-IOLA'!$X$17</f>
        <v>0</v>
      </c>
      <c r="L96" s="105">
        <f>'[4]SPA-IOLA'!$X$18</f>
        <v>0</v>
      </c>
      <c r="M96" s="105">
        <f>'[4]SPA-IOLA'!$X$19</f>
        <v>0</v>
      </c>
      <c r="N96" s="72">
        <f>SUM(B96:M96)</f>
        <v>807000</v>
      </c>
    </row>
    <row r="97" spans="1:14" x14ac:dyDescent="0.2">
      <c r="A97" s="67" t="s">
        <v>162</v>
      </c>
      <c r="B97" s="73">
        <f>'[5]SPA-IOLA'!$X$8</f>
        <v>0</v>
      </c>
      <c r="C97" s="73">
        <f>'[5]SPA-IOLA'!$X$9</f>
        <v>0</v>
      </c>
      <c r="D97" s="73">
        <f>'[5]SPA-IOLA'!$X$10</f>
        <v>0</v>
      </c>
      <c r="E97" s="73">
        <f>'[5]SPA-IOLA'!$X$11</f>
        <v>220000</v>
      </c>
      <c r="F97" s="73">
        <f>'[5]SPA-IOLA'!$X$12</f>
        <v>364000</v>
      </c>
      <c r="G97" s="73">
        <f>'[5]SPA-IOLA'!$X$13</f>
        <v>387000</v>
      </c>
      <c r="H97" s="73">
        <f>'[5]SPA-IOLA'!$X$14</f>
        <v>60000</v>
      </c>
      <c r="I97" s="73">
        <f>'[5]SPA-IOLA'!$X$15</f>
        <v>321000</v>
      </c>
      <c r="J97" s="73">
        <f>'[5]SPA-IOLA'!$X$16</f>
        <v>111000</v>
      </c>
      <c r="K97" s="73">
        <f>'[5]SPA-IOLA'!$X$17</f>
        <v>0</v>
      </c>
      <c r="L97" s="73">
        <f>'[5]SPA-IOLA'!$X$18</f>
        <v>0</v>
      </c>
      <c r="M97" s="73">
        <f>'[5]SPA-IOLA'!$X$19</f>
        <v>0</v>
      </c>
      <c r="N97" s="73">
        <f t="shared" ref="N97:N98" si="198">SUM(B97:M97)</f>
        <v>1463000</v>
      </c>
    </row>
    <row r="98" spans="1:14" x14ac:dyDescent="0.2">
      <c r="A98" s="67" t="s">
        <v>115</v>
      </c>
      <c r="B98" s="72">
        <f>SUM(B96:B97)/2</f>
        <v>15500</v>
      </c>
      <c r="C98" s="72">
        <f t="shared" ref="C98" si="199">SUM(C96:C97)/2</f>
        <v>93000</v>
      </c>
      <c r="D98" s="72">
        <f t="shared" ref="D98" si="200">SUM(D96:D97)/2</f>
        <v>115000</v>
      </c>
      <c r="E98" s="72">
        <f t="shared" ref="E98" si="201">SUM(E96:E97)/2</f>
        <v>290000</v>
      </c>
      <c r="F98" s="72">
        <f t="shared" ref="F98" si="202">SUM(F96:F97)/2</f>
        <v>182000</v>
      </c>
      <c r="G98" s="72">
        <f t="shared" ref="G98" si="203">SUM(G96:G97)/2</f>
        <v>193500</v>
      </c>
      <c r="H98" s="72">
        <f t="shared" ref="H98" si="204">SUM(H96:H97)/2</f>
        <v>30000</v>
      </c>
      <c r="I98" s="72">
        <f t="shared" ref="I98" si="205">SUM(I96:I97)/2</f>
        <v>160500</v>
      </c>
      <c r="J98" s="72">
        <f t="shared" ref="J98" si="206">SUM(J96:J97)/2</f>
        <v>55500</v>
      </c>
      <c r="K98" s="72">
        <f t="shared" ref="K98" si="207">SUM(K96:K97)/2</f>
        <v>0</v>
      </c>
      <c r="L98" s="72">
        <f t="shared" ref="L98" si="208">SUM(L96:L97)/2</f>
        <v>0</v>
      </c>
      <c r="M98" s="72">
        <f t="shared" ref="M98" si="209">SUM(M96:M97)/2</f>
        <v>0</v>
      </c>
      <c r="N98" s="72">
        <f t="shared" si="198"/>
        <v>1135000</v>
      </c>
    </row>
    <row r="99" spans="1:14" x14ac:dyDescent="0.2">
      <c r="A99" s="67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x14ac:dyDescent="0.2">
      <c r="A100" s="67" t="s">
        <v>150</v>
      </c>
      <c r="B100" s="105">
        <f>'[4]SPA-MULVANE'!$X$8</f>
        <v>12000</v>
      </c>
      <c r="C100" s="105">
        <f>'[4]SPA-MULVANE'!$X$9</f>
        <v>75000</v>
      </c>
      <c r="D100" s="105">
        <f>'[4]SPA-MULVANE'!$X$10</f>
        <v>118000</v>
      </c>
      <c r="E100" s="105">
        <f>'[4]SPA-MULVANE'!$X$11</f>
        <v>144000</v>
      </c>
      <c r="F100" s="105">
        <f>'[4]SPA-MULVANE'!$X$12</f>
        <v>0</v>
      </c>
      <c r="G100" s="105">
        <f>'[4]SPA-MULVANE'!$X$13</f>
        <v>0</v>
      </c>
      <c r="H100" s="105">
        <f>'[4]SPA-MULVANE'!$X$14</f>
        <v>0</v>
      </c>
      <c r="I100" s="105">
        <f>'[4]SPA-MULVANE'!$X$15</f>
        <v>0</v>
      </c>
      <c r="J100" s="105">
        <f>'[4]SPA-MULVANE'!$X$16</f>
        <v>0</v>
      </c>
      <c r="K100" s="105">
        <f>'[4]SPA-MULVANE'!$X$17</f>
        <v>0</v>
      </c>
      <c r="L100" s="105">
        <f>'[4]SPA-MULVANE'!$X$18</f>
        <v>0</v>
      </c>
      <c r="M100" s="105">
        <f>'[4]SPA-MULVANE'!$X$19</f>
        <v>0</v>
      </c>
      <c r="N100" s="72">
        <f>SUM(B100:M100)</f>
        <v>349000</v>
      </c>
    </row>
    <row r="101" spans="1:14" x14ac:dyDescent="0.2">
      <c r="A101" s="67" t="s">
        <v>163</v>
      </c>
      <c r="B101" s="73">
        <f>'[5]SPA-MULVANE'!$X$8</f>
        <v>0</v>
      </c>
      <c r="C101" s="73">
        <f>'[5]SPA-MULVANE'!$X$9</f>
        <v>0</v>
      </c>
      <c r="D101" s="73">
        <f>'[5]SPA-MULVANE'!$X$10</f>
        <v>0</v>
      </c>
      <c r="E101" s="73">
        <f>'[5]SPA-MULVANE'!$X$11</f>
        <v>87000</v>
      </c>
      <c r="F101" s="73">
        <f>'[5]SPA-MULVANE'!$X$12</f>
        <v>151000</v>
      </c>
      <c r="G101" s="73">
        <f>'[5]SPA-MULVANE'!$X$13</f>
        <v>164000</v>
      </c>
      <c r="H101" s="73">
        <f>'[5]SPA-MULVANE'!$X$14</f>
        <v>25000</v>
      </c>
      <c r="I101" s="73">
        <f>'[5]SPA-MULVANE'!$X$15</f>
        <v>132000</v>
      </c>
      <c r="J101" s="73">
        <f>'[5]SPA-MULVANE'!$X$16</f>
        <v>48000</v>
      </c>
      <c r="K101" s="73">
        <f>'[5]SPA-MULVANE'!$X$17</f>
        <v>0</v>
      </c>
      <c r="L101" s="73">
        <f>'[5]SPA-MULVANE'!$X$18</f>
        <v>0</v>
      </c>
      <c r="M101" s="73">
        <f>'[5]SPA-MULVANE'!$X$19</f>
        <v>0</v>
      </c>
      <c r="N101" s="73">
        <f t="shared" ref="N101:N102" si="210">SUM(B101:M101)</f>
        <v>607000</v>
      </c>
    </row>
    <row r="102" spans="1:14" x14ac:dyDescent="0.2">
      <c r="A102" s="67" t="s">
        <v>115</v>
      </c>
      <c r="B102" s="72">
        <f>SUM(B100:B101)/2</f>
        <v>6000</v>
      </c>
      <c r="C102" s="72">
        <f t="shared" ref="C102" si="211">SUM(C100:C101)/2</f>
        <v>37500</v>
      </c>
      <c r="D102" s="72">
        <f t="shared" ref="D102" si="212">SUM(D100:D101)/2</f>
        <v>59000</v>
      </c>
      <c r="E102" s="72">
        <f t="shared" ref="E102" si="213">SUM(E100:E101)/2</f>
        <v>115500</v>
      </c>
      <c r="F102" s="72">
        <f t="shared" ref="F102" si="214">SUM(F100:F101)/2</f>
        <v>75500</v>
      </c>
      <c r="G102" s="72">
        <f t="shared" ref="G102" si="215">SUM(G100:G101)/2</f>
        <v>82000</v>
      </c>
      <c r="H102" s="72">
        <f t="shared" ref="H102" si="216">SUM(H100:H101)/2</f>
        <v>12500</v>
      </c>
      <c r="I102" s="72">
        <f t="shared" ref="I102" si="217">SUM(I100:I101)/2</f>
        <v>66000</v>
      </c>
      <c r="J102" s="72">
        <f t="shared" ref="J102" si="218">SUM(J100:J101)/2</f>
        <v>24000</v>
      </c>
      <c r="K102" s="72">
        <f t="shared" ref="K102" si="219">SUM(K100:K101)/2</f>
        <v>0</v>
      </c>
      <c r="L102" s="72">
        <f t="shared" ref="L102" si="220">SUM(L100:L101)/2</f>
        <v>0</v>
      </c>
      <c r="M102" s="72">
        <f t="shared" ref="M102" si="221">SUM(M100:M101)/2</f>
        <v>0</v>
      </c>
      <c r="N102" s="72">
        <f t="shared" si="210"/>
        <v>478000</v>
      </c>
    </row>
    <row r="103" spans="1:14" x14ac:dyDescent="0.2">
      <c r="A103" s="67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1:14" x14ac:dyDescent="0.2">
      <c r="A104" s="67" t="s">
        <v>151</v>
      </c>
      <c r="B104" s="105">
        <f>'[4]SPA-NEODESHA'!$X$8</f>
        <v>12000</v>
      </c>
      <c r="C104" s="105">
        <f>'[4]SPA-NEODESHA'!$X$9</f>
        <v>75000</v>
      </c>
      <c r="D104" s="105">
        <f>'[4]SPA-NEODESHA'!$X$10</f>
        <v>90000</v>
      </c>
      <c r="E104" s="105">
        <f>'[4]SPA-NEODESHA'!$X$11</f>
        <v>144000</v>
      </c>
      <c r="F104" s="105">
        <f>'[4]SPA-NEODESHA'!$X$12</f>
        <v>0</v>
      </c>
      <c r="G104" s="105">
        <f>'[4]SPA-NEODESHA'!$X$13</f>
        <v>0</v>
      </c>
      <c r="H104" s="105">
        <f>'[4]SPA-NEODESHA'!$X$14</f>
        <v>0</v>
      </c>
      <c r="I104" s="105">
        <f>'[4]SPA-NEODESHA'!$X$15</f>
        <v>0</v>
      </c>
      <c r="J104" s="105">
        <f>'[4]SPA-NEODESHA'!$X$16</f>
        <v>0</v>
      </c>
      <c r="K104" s="105">
        <f>'[4]SPA-NEODESHA'!$X$17</f>
        <v>0</v>
      </c>
      <c r="L104" s="105">
        <f>'[4]SPA-NEODESHA'!$X$18</f>
        <v>0</v>
      </c>
      <c r="M104" s="105">
        <f>'[4]SPA-NEODESHA'!$X$19</f>
        <v>0</v>
      </c>
      <c r="N104" s="72">
        <f>SUM(B104:M104)</f>
        <v>321000</v>
      </c>
    </row>
    <row r="105" spans="1:14" x14ac:dyDescent="0.2">
      <c r="A105" s="67" t="s">
        <v>168</v>
      </c>
      <c r="B105" s="73">
        <f>'[5]SPA-NEODESHA'!$X$8</f>
        <v>0</v>
      </c>
      <c r="C105" s="73">
        <f>'[5]SPA-NEODESHA'!$X$9</f>
        <v>0</v>
      </c>
      <c r="D105" s="73">
        <f>'[5]SPA-NEODESHA'!$X$10</f>
        <v>0</v>
      </c>
      <c r="E105" s="73">
        <f>'[5]SPA-NEODESHA'!$X$11</f>
        <v>87000</v>
      </c>
      <c r="F105" s="73">
        <f>'[5]SPA-NEODESHA'!$X$12</f>
        <v>151000</v>
      </c>
      <c r="G105" s="73">
        <f>'[5]SPA-NEODESHA'!$X$13</f>
        <v>164000</v>
      </c>
      <c r="H105" s="73">
        <f>'[5]SPA-NEODESHA'!$X$14</f>
        <v>25000</v>
      </c>
      <c r="I105" s="73">
        <f>'[5]SPA-NEODESHA'!$X$15</f>
        <v>132000</v>
      </c>
      <c r="J105" s="73">
        <f>'[5]SPA-NEODESHA'!$X$16</f>
        <v>48000</v>
      </c>
      <c r="K105" s="73">
        <f>'[5]SPA-NEODESHA'!$X$17</f>
        <v>0</v>
      </c>
      <c r="L105" s="73">
        <f>'[5]SPA-NEODESHA'!$X$18</f>
        <v>0</v>
      </c>
      <c r="M105" s="73">
        <f>'[5]SPA-NEODESHA'!$X$19</f>
        <v>0</v>
      </c>
      <c r="N105" s="73">
        <f t="shared" ref="N105:N106" si="222">SUM(B105:M105)</f>
        <v>607000</v>
      </c>
    </row>
    <row r="106" spans="1:14" x14ac:dyDescent="0.2">
      <c r="A106" s="67" t="s">
        <v>115</v>
      </c>
      <c r="B106" s="72">
        <f>SUM(B104:B105)/2</f>
        <v>6000</v>
      </c>
      <c r="C106" s="72">
        <f t="shared" ref="C106" si="223">SUM(C104:C105)/2</f>
        <v>37500</v>
      </c>
      <c r="D106" s="72">
        <f t="shared" ref="D106" si="224">SUM(D104:D105)/2</f>
        <v>45000</v>
      </c>
      <c r="E106" s="72">
        <f t="shared" ref="E106" si="225">SUM(E104:E105)/2</f>
        <v>115500</v>
      </c>
      <c r="F106" s="72">
        <f t="shared" ref="F106" si="226">SUM(F104:F105)/2</f>
        <v>75500</v>
      </c>
      <c r="G106" s="72">
        <f t="shared" ref="G106" si="227">SUM(G104:G105)/2</f>
        <v>82000</v>
      </c>
      <c r="H106" s="72">
        <f t="shared" ref="H106" si="228">SUM(H104:H105)/2</f>
        <v>12500</v>
      </c>
      <c r="I106" s="72">
        <f t="shared" ref="I106" si="229">SUM(I104:I105)/2</f>
        <v>66000</v>
      </c>
      <c r="J106" s="72">
        <f t="shared" ref="J106" si="230">SUM(J104:J105)/2</f>
        <v>24000</v>
      </c>
      <c r="K106" s="72">
        <f t="shared" ref="K106" si="231">SUM(K104:K105)/2</f>
        <v>0</v>
      </c>
      <c r="L106" s="72">
        <f t="shared" ref="L106" si="232">SUM(L104:L105)/2</f>
        <v>0</v>
      </c>
      <c r="M106" s="72">
        <f t="shared" ref="M106" si="233">SUM(M104:M105)/2</f>
        <v>0</v>
      </c>
      <c r="N106" s="72">
        <f t="shared" si="222"/>
        <v>464000</v>
      </c>
    </row>
    <row r="107" spans="1:14" x14ac:dyDescent="0.2">
      <c r="A107" s="67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1:14" x14ac:dyDescent="0.2">
      <c r="A108" s="67" t="s">
        <v>156</v>
      </c>
      <c r="B108" s="72">
        <f t="shared" ref="B108:M108" si="234">(B84+B112)/4</f>
        <v>6000</v>
      </c>
      <c r="C108" s="72">
        <f t="shared" si="234"/>
        <v>41625</v>
      </c>
      <c r="D108" s="72">
        <f t="shared" si="234"/>
        <v>27875</v>
      </c>
      <c r="E108" s="72">
        <f t="shared" si="234"/>
        <v>50000</v>
      </c>
      <c r="F108" s="72">
        <f t="shared" si="234"/>
        <v>0</v>
      </c>
      <c r="G108" s="72">
        <f t="shared" si="234"/>
        <v>0</v>
      </c>
      <c r="H108" s="72">
        <f t="shared" si="234"/>
        <v>0</v>
      </c>
      <c r="I108" s="72">
        <f t="shared" si="234"/>
        <v>0</v>
      </c>
      <c r="J108" s="72">
        <f t="shared" si="234"/>
        <v>0</v>
      </c>
      <c r="K108" s="72">
        <f t="shared" si="234"/>
        <v>0</v>
      </c>
      <c r="L108" s="72">
        <f t="shared" si="234"/>
        <v>0</v>
      </c>
      <c r="M108" s="72">
        <f t="shared" si="234"/>
        <v>0</v>
      </c>
      <c r="N108" s="72">
        <f>SUM(B108:M108)</f>
        <v>125500</v>
      </c>
    </row>
    <row r="109" spans="1:14" x14ac:dyDescent="0.2">
      <c r="A109" s="67" t="s">
        <v>164</v>
      </c>
      <c r="B109" s="73">
        <f t="shared" ref="B109:M109" si="235">(B85+B113)/4</f>
        <v>0</v>
      </c>
      <c r="C109" s="73">
        <f t="shared" si="235"/>
        <v>0</v>
      </c>
      <c r="D109" s="73">
        <f t="shared" si="235"/>
        <v>0</v>
      </c>
      <c r="E109" s="73">
        <f t="shared" si="235"/>
        <v>37700</v>
      </c>
      <c r="F109" s="73">
        <f t="shared" si="235"/>
        <v>63500</v>
      </c>
      <c r="G109" s="73">
        <f t="shared" si="235"/>
        <v>55800</v>
      </c>
      <c r="H109" s="73">
        <f t="shared" si="235"/>
        <v>7500</v>
      </c>
      <c r="I109" s="73">
        <f t="shared" si="235"/>
        <v>42100</v>
      </c>
      <c r="J109" s="73">
        <f t="shared" si="235"/>
        <v>17700</v>
      </c>
      <c r="K109" s="73">
        <f t="shared" si="235"/>
        <v>0</v>
      </c>
      <c r="L109" s="73">
        <f t="shared" si="235"/>
        <v>0</v>
      </c>
      <c r="M109" s="73">
        <f t="shared" si="235"/>
        <v>0</v>
      </c>
      <c r="N109" s="73">
        <f>SUM(B109:M109)</f>
        <v>224300</v>
      </c>
    </row>
    <row r="110" spans="1:14" x14ac:dyDescent="0.2">
      <c r="A110" s="67" t="s">
        <v>115</v>
      </c>
      <c r="B110" s="72">
        <f>SUM(B108:B109)/2</f>
        <v>3000</v>
      </c>
      <c r="C110" s="72">
        <f t="shared" ref="C110:M110" si="236">SUM(C108:C109)/2</f>
        <v>20812.5</v>
      </c>
      <c r="D110" s="72">
        <f t="shared" si="236"/>
        <v>13937.5</v>
      </c>
      <c r="E110" s="72">
        <f t="shared" si="236"/>
        <v>43850</v>
      </c>
      <c r="F110" s="72">
        <f t="shared" si="236"/>
        <v>31750</v>
      </c>
      <c r="G110" s="72">
        <f t="shared" si="236"/>
        <v>27900</v>
      </c>
      <c r="H110" s="72">
        <f t="shared" si="236"/>
        <v>3750</v>
      </c>
      <c r="I110" s="72">
        <f t="shared" si="236"/>
        <v>21050</v>
      </c>
      <c r="J110" s="72">
        <f t="shared" si="236"/>
        <v>8850</v>
      </c>
      <c r="K110" s="72">
        <f t="shared" si="236"/>
        <v>0</v>
      </c>
      <c r="L110" s="72">
        <f t="shared" si="236"/>
        <v>0</v>
      </c>
      <c r="M110" s="72">
        <f t="shared" si="236"/>
        <v>0</v>
      </c>
      <c r="N110" s="72">
        <f t="shared" ref="N110" si="237">SUM(B110:M110)</f>
        <v>174900</v>
      </c>
    </row>
    <row r="111" spans="1:14" x14ac:dyDescent="0.2">
      <c r="A111" s="67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1:14" x14ac:dyDescent="0.2">
      <c r="A112" s="67" t="s">
        <v>152</v>
      </c>
      <c r="B112" s="105">
        <f>'[4]SPA-OSAWATOMIE'!$X$8</f>
        <v>12000</v>
      </c>
      <c r="C112" s="105">
        <f>'[4]SPA-OSAWATOMIE'!$X$9</f>
        <v>83250</v>
      </c>
      <c r="D112" s="105">
        <f>'[4]SPA-OSAWATOMIE'!$X$10</f>
        <v>55750</v>
      </c>
      <c r="E112" s="105">
        <f>'[4]SPA-OSAWATOMIE'!$X$11</f>
        <v>100000</v>
      </c>
      <c r="F112" s="105">
        <f>'[4]SPA-OSAWATOMIE'!$X$12</f>
        <v>0</v>
      </c>
      <c r="G112" s="105">
        <f>'[4]SPA-OSAWATOMIE'!$X$13</f>
        <v>0</v>
      </c>
      <c r="H112" s="105">
        <f>'[4]SPA-OSAWATOMIE'!$X$14</f>
        <v>0</v>
      </c>
      <c r="I112" s="105">
        <f>'[4]SPA-OSAWATOMIE'!$X$15</f>
        <v>0</v>
      </c>
      <c r="J112" s="105">
        <f>'[4]SPA-OSAWATOMIE'!$X$16</f>
        <v>0</v>
      </c>
      <c r="K112" s="105">
        <f>'[4]SPA-OSAWATOMIE'!$X$17</f>
        <v>0</v>
      </c>
      <c r="L112" s="105">
        <f>'[4]SPA-OSAWATOMIE'!$X$18</f>
        <v>0</v>
      </c>
      <c r="M112" s="105">
        <f>'[4]SPA-OSAWATOMIE'!$X$19</f>
        <v>0</v>
      </c>
      <c r="N112" s="72">
        <f>SUM(B112:M112)</f>
        <v>251000</v>
      </c>
    </row>
    <row r="113" spans="1:14" x14ac:dyDescent="0.2">
      <c r="A113" s="67" t="s">
        <v>165</v>
      </c>
      <c r="B113" s="73">
        <f>'[5]SPA-OSAWATOMIE'!$X$8</f>
        <v>0</v>
      </c>
      <c r="C113" s="73">
        <f>'[5]SPA-OSAWATOMIE'!$X$9</f>
        <v>0</v>
      </c>
      <c r="D113" s="73">
        <f>'[5]SPA-OSAWATOMIE'!$X$10</f>
        <v>0</v>
      </c>
      <c r="E113" s="73">
        <f>'[5]SPA-OSAWATOMIE'!$X$11</f>
        <v>75400</v>
      </c>
      <c r="F113" s="73">
        <f>'[5]SPA-OSAWATOMIE'!$X$12</f>
        <v>127000</v>
      </c>
      <c r="G113" s="73">
        <f>'[5]SPA-OSAWATOMIE'!$X$13</f>
        <v>111600</v>
      </c>
      <c r="H113" s="73">
        <f>'[5]SPA-OSAWATOMIE'!$X$14</f>
        <v>15000</v>
      </c>
      <c r="I113" s="73">
        <f>'[5]SPA-OSAWATOMIE'!$X$15</f>
        <v>84200</v>
      </c>
      <c r="J113" s="73">
        <f>'[5]SPA-OSAWATOMIE'!$X$16</f>
        <v>35400</v>
      </c>
      <c r="K113" s="73">
        <f>'[5]SPA-OSAWATOMIE'!$X$17</f>
        <v>0</v>
      </c>
      <c r="L113" s="73">
        <f>'[5]SPA-OSAWATOMIE'!$X$18</f>
        <v>0</v>
      </c>
      <c r="M113" s="73">
        <f>'[5]SPA-OSAWATOMIE'!$X$19</f>
        <v>0</v>
      </c>
      <c r="N113" s="73">
        <f t="shared" ref="N113:N114" si="238">SUM(B113:M113)</f>
        <v>448600</v>
      </c>
    </row>
    <row r="114" spans="1:14" x14ac:dyDescent="0.2">
      <c r="A114" s="67" t="s">
        <v>115</v>
      </c>
      <c r="B114" s="72">
        <f>SUM(B112:B113)/2</f>
        <v>6000</v>
      </c>
      <c r="C114" s="72">
        <f t="shared" ref="C114" si="239">SUM(C112:C113)/2</f>
        <v>41625</v>
      </c>
      <c r="D114" s="72">
        <f t="shared" ref="D114" si="240">SUM(D112:D113)/2</f>
        <v>27875</v>
      </c>
      <c r="E114" s="72">
        <f t="shared" ref="E114" si="241">SUM(E112:E113)/2</f>
        <v>87700</v>
      </c>
      <c r="F114" s="72">
        <f t="shared" ref="F114" si="242">SUM(F112:F113)/2</f>
        <v>63500</v>
      </c>
      <c r="G114" s="72">
        <f t="shared" ref="G114" si="243">SUM(G112:G113)/2</f>
        <v>55800</v>
      </c>
      <c r="H114" s="72">
        <f t="shared" ref="H114" si="244">SUM(H112:H113)/2</f>
        <v>7500</v>
      </c>
      <c r="I114" s="72">
        <f t="shared" ref="I114" si="245">SUM(I112:I113)/2</f>
        <v>42100</v>
      </c>
      <c r="J114" s="72">
        <f t="shared" ref="J114" si="246">SUM(J112:J113)/2</f>
        <v>17700</v>
      </c>
      <c r="K114" s="72">
        <f t="shared" ref="K114" si="247">SUM(K112:K113)/2</f>
        <v>0</v>
      </c>
      <c r="L114" s="72">
        <f t="shared" ref="L114" si="248">SUM(L112:L113)/2</f>
        <v>0</v>
      </c>
      <c r="M114" s="72">
        <f t="shared" ref="M114" si="249">SUM(M112:M113)/2</f>
        <v>0</v>
      </c>
      <c r="N114" s="72">
        <f t="shared" si="238"/>
        <v>349800</v>
      </c>
    </row>
    <row r="115" spans="1:14" x14ac:dyDescent="0.2">
      <c r="A115" s="67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1:14" x14ac:dyDescent="0.2">
      <c r="A116" s="67" t="s">
        <v>153</v>
      </c>
      <c r="B116" s="105">
        <f>'[4]SPA-OTTAWA'!$X$8</f>
        <v>24000</v>
      </c>
      <c r="C116" s="105">
        <f>'[4]SPA-OTTAWA'!$X$9</f>
        <v>166500</v>
      </c>
      <c r="D116" s="105">
        <f>'[4]SPA-OTTAWA'!$X$10</f>
        <v>111500</v>
      </c>
      <c r="E116" s="105">
        <f>'[4]SPA-OTTAWA'!$X$11</f>
        <v>200000</v>
      </c>
      <c r="F116" s="105">
        <f>'[4]SPA-OTTAWA'!$X$12</f>
        <v>0</v>
      </c>
      <c r="G116" s="105">
        <f>'[4]SPA-OTTAWA'!$X$13</f>
        <v>0</v>
      </c>
      <c r="H116" s="105">
        <f>'[4]SPA-OTTAWA'!$X$14</f>
        <v>0</v>
      </c>
      <c r="I116" s="105">
        <f>'[4]SPA-OTTAWA'!$X$15</f>
        <v>0</v>
      </c>
      <c r="J116" s="105">
        <f>'[4]SPA-OTTAWA'!$X$16</f>
        <v>0</v>
      </c>
      <c r="K116" s="105">
        <f>'[4]SPA-OTTAWA'!$X$17</f>
        <v>0</v>
      </c>
      <c r="L116" s="105">
        <f>'[4]SPA-OTTAWA'!$X$18</f>
        <v>0</v>
      </c>
      <c r="M116" s="105">
        <f>'[4]SPA-OTTAWA'!$X$19</f>
        <v>0</v>
      </c>
      <c r="N116" s="72">
        <f>SUM(B116:M116)</f>
        <v>502000</v>
      </c>
    </row>
    <row r="117" spans="1:14" x14ac:dyDescent="0.2">
      <c r="A117" s="67" t="s">
        <v>166</v>
      </c>
      <c r="B117" s="73">
        <f>'[5]SPA-OTTAWA'!$X$8</f>
        <v>0</v>
      </c>
      <c r="C117" s="73">
        <f>'[5]SPA-OTTAWA'!$X$9</f>
        <v>0</v>
      </c>
      <c r="D117" s="73">
        <f>'[5]SPA-OTTAWA'!$X$10</f>
        <v>0</v>
      </c>
      <c r="E117" s="73">
        <f>'[5]SPA-OTTAWA'!$X$11</f>
        <v>188500</v>
      </c>
      <c r="F117" s="73">
        <f>'[5]SPA-OTTAWA'!$X$12</f>
        <v>317500</v>
      </c>
      <c r="G117" s="73">
        <f>'[5]SPA-OTTAWA'!$X$13</f>
        <v>279000</v>
      </c>
      <c r="H117" s="73">
        <f>'[5]SPA-OTTAWA'!$X$14</f>
        <v>37500</v>
      </c>
      <c r="I117" s="73">
        <f>'[5]SPA-OTTAWA'!$X$15</f>
        <v>210500</v>
      </c>
      <c r="J117" s="73">
        <f>'[5]SPA-OTTAWA'!$X$16</f>
        <v>88500</v>
      </c>
      <c r="K117" s="73">
        <f>'[5]SPA-OTTAWA'!$X$17</f>
        <v>0</v>
      </c>
      <c r="L117" s="73">
        <f>'[5]SPA-OTTAWA'!$X$18</f>
        <v>0</v>
      </c>
      <c r="M117" s="73">
        <f>'[5]SPA-OTTAWA'!$X$19</f>
        <v>0</v>
      </c>
      <c r="N117" s="73">
        <f t="shared" ref="N117:N118" si="250">SUM(B117:M117)</f>
        <v>1121500</v>
      </c>
    </row>
    <row r="118" spans="1:14" x14ac:dyDescent="0.2">
      <c r="A118" s="67" t="s">
        <v>115</v>
      </c>
      <c r="B118" s="72">
        <f>SUM(B116:B117)/2</f>
        <v>12000</v>
      </c>
      <c r="C118" s="72">
        <f t="shared" ref="C118" si="251">SUM(C116:C117)/2</f>
        <v>83250</v>
      </c>
      <c r="D118" s="72">
        <f t="shared" ref="D118" si="252">SUM(D116:D117)/2</f>
        <v>55750</v>
      </c>
      <c r="E118" s="72">
        <f t="shared" ref="E118" si="253">SUM(E116:E117)/2</f>
        <v>194250</v>
      </c>
      <c r="F118" s="72">
        <f t="shared" ref="F118" si="254">SUM(F116:F117)/2</f>
        <v>158750</v>
      </c>
      <c r="G118" s="72">
        <f t="shared" ref="G118" si="255">SUM(G116:G117)/2</f>
        <v>139500</v>
      </c>
      <c r="H118" s="72">
        <f t="shared" ref="H118" si="256">SUM(H116:H117)/2</f>
        <v>18750</v>
      </c>
      <c r="I118" s="72">
        <f t="shared" ref="I118" si="257">SUM(I116:I117)/2</f>
        <v>105250</v>
      </c>
      <c r="J118" s="72">
        <f t="shared" ref="J118" si="258">SUM(J116:J117)/2</f>
        <v>44250</v>
      </c>
      <c r="K118" s="72">
        <f t="shared" ref="K118" si="259">SUM(K116:K117)/2</f>
        <v>0</v>
      </c>
      <c r="L118" s="72">
        <f t="shared" ref="L118" si="260">SUM(L116:L117)/2</f>
        <v>0</v>
      </c>
      <c r="M118" s="72">
        <f t="shared" ref="M118" si="261">SUM(M116:M117)/2</f>
        <v>0</v>
      </c>
      <c r="N118" s="72">
        <f t="shared" si="250"/>
        <v>811750</v>
      </c>
    </row>
    <row r="119" spans="1:14" x14ac:dyDescent="0.2">
      <c r="A119" s="67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1:14" x14ac:dyDescent="0.2">
      <c r="A120" s="67" t="s">
        <v>173</v>
      </c>
      <c r="B120" s="105">
        <v>0</v>
      </c>
      <c r="C120" s="105">
        <v>0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72">
        <f>SUM(B120:M120)</f>
        <v>0</v>
      </c>
    </row>
    <row r="121" spans="1:14" x14ac:dyDescent="0.2">
      <c r="A121" s="67" t="s">
        <v>174</v>
      </c>
      <c r="B121" s="121">
        <f>B113/4</f>
        <v>0</v>
      </c>
      <c r="C121" s="121">
        <f t="shared" ref="C121:M121" si="262">C113/4</f>
        <v>0</v>
      </c>
      <c r="D121" s="121">
        <f t="shared" si="262"/>
        <v>0</v>
      </c>
      <c r="E121" s="121">
        <f t="shared" si="262"/>
        <v>18850</v>
      </c>
      <c r="F121" s="121">
        <f t="shared" si="262"/>
        <v>31750</v>
      </c>
      <c r="G121" s="121">
        <f t="shared" si="262"/>
        <v>27900</v>
      </c>
      <c r="H121" s="121">
        <f t="shared" si="262"/>
        <v>3750</v>
      </c>
      <c r="I121" s="121">
        <f t="shared" si="262"/>
        <v>21050</v>
      </c>
      <c r="J121" s="121">
        <f t="shared" si="262"/>
        <v>8850</v>
      </c>
      <c r="K121" s="121">
        <f t="shared" si="262"/>
        <v>0</v>
      </c>
      <c r="L121" s="121">
        <f t="shared" si="262"/>
        <v>0</v>
      </c>
      <c r="M121" s="121">
        <f t="shared" si="262"/>
        <v>0</v>
      </c>
      <c r="N121" s="121">
        <f t="shared" ref="N121" si="263">SUM(B121:M121)</f>
        <v>112150</v>
      </c>
    </row>
    <row r="122" spans="1:14" x14ac:dyDescent="0.2">
      <c r="A122" s="67" t="s">
        <v>115</v>
      </c>
      <c r="B122" s="72">
        <f>SUM(B120:B121)</f>
        <v>0</v>
      </c>
      <c r="C122" s="72">
        <f t="shared" ref="C122" si="264">SUM(C120:C121)</f>
        <v>0</v>
      </c>
      <c r="D122" s="72">
        <f t="shared" ref="D122" si="265">SUM(D120:D121)</f>
        <v>0</v>
      </c>
      <c r="E122" s="72">
        <f t="shared" ref="E122" si="266">SUM(E120:E121)</f>
        <v>18850</v>
      </c>
      <c r="F122" s="72">
        <f t="shared" ref="F122" si="267">SUM(F120:F121)</f>
        <v>31750</v>
      </c>
      <c r="G122" s="72">
        <f t="shared" ref="G122" si="268">SUM(G120:G121)</f>
        <v>27900</v>
      </c>
      <c r="H122" s="72">
        <f t="shared" ref="H122" si="269">SUM(H120:H121)</f>
        <v>3750</v>
      </c>
      <c r="I122" s="72">
        <f t="shared" ref="I122" si="270">SUM(I120:I121)</f>
        <v>21050</v>
      </c>
      <c r="J122" s="72">
        <f t="shared" ref="J122" si="271">SUM(J120:J121)</f>
        <v>8850</v>
      </c>
      <c r="K122" s="72">
        <f t="shared" ref="K122" si="272">SUM(K120:K121)</f>
        <v>0</v>
      </c>
      <c r="L122" s="72">
        <f t="shared" ref="L122" si="273">SUM(L120:L121)</f>
        <v>0</v>
      </c>
      <c r="M122" s="72">
        <f t="shared" ref="M122" si="274">SUM(M120:M121)</f>
        <v>0</v>
      </c>
      <c r="N122" s="72">
        <f t="shared" ref="N122" si="275">SUM(N120:N121)</f>
        <v>112150</v>
      </c>
    </row>
    <row r="123" spans="1:14" x14ac:dyDescent="0.2">
      <c r="A123" s="67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1:14" x14ac:dyDescent="0.2">
      <c r="A124" s="67" t="s">
        <v>175</v>
      </c>
      <c r="B124" s="105">
        <v>0</v>
      </c>
      <c r="C124" s="105">
        <v>0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72">
        <f>SUM(B124:M124)</f>
        <v>0</v>
      </c>
    </row>
    <row r="125" spans="1:14" x14ac:dyDescent="0.2">
      <c r="A125" s="67" t="s">
        <v>176</v>
      </c>
      <c r="B125" s="121">
        <f>B113/4</f>
        <v>0</v>
      </c>
      <c r="C125" s="121">
        <f t="shared" ref="C125:M125" si="276">C113/4</f>
        <v>0</v>
      </c>
      <c r="D125" s="121">
        <f t="shared" si="276"/>
        <v>0</v>
      </c>
      <c r="E125" s="121">
        <f t="shared" si="276"/>
        <v>18850</v>
      </c>
      <c r="F125" s="121">
        <f t="shared" si="276"/>
        <v>31750</v>
      </c>
      <c r="G125" s="121">
        <f t="shared" si="276"/>
        <v>27900</v>
      </c>
      <c r="H125" s="121">
        <f t="shared" si="276"/>
        <v>3750</v>
      </c>
      <c r="I125" s="121">
        <f t="shared" si="276"/>
        <v>21050</v>
      </c>
      <c r="J125" s="121">
        <f t="shared" si="276"/>
        <v>8850</v>
      </c>
      <c r="K125" s="121">
        <f t="shared" si="276"/>
        <v>0</v>
      </c>
      <c r="L125" s="121">
        <f t="shared" si="276"/>
        <v>0</v>
      </c>
      <c r="M125" s="121">
        <f t="shared" si="276"/>
        <v>0</v>
      </c>
      <c r="N125" s="121">
        <f t="shared" ref="N125" si="277">SUM(B125:M125)</f>
        <v>112150</v>
      </c>
    </row>
    <row r="126" spans="1:14" x14ac:dyDescent="0.2">
      <c r="A126" s="67" t="s">
        <v>115</v>
      </c>
      <c r="B126" s="72">
        <f>SUM(B124:B125)</f>
        <v>0</v>
      </c>
      <c r="C126" s="72">
        <f t="shared" ref="C126" si="278">SUM(C124:C125)</f>
        <v>0</v>
      </c>
      <c r="D126" s="72">
        <f t="shared" ref="D126" si="279">SUM(D124:D125)</f>
        <v>0</v>
      </c>
      <c r="E126" s="72">
        <f t="shared" ref="E126" si="280">SUM(E124:E125)</f>
        <v>18850</v>
      </c>
      <c r="F126" s="72">
        <f t="shared" ref="F126" si="281">SUM(F124:F125)</f>
        <v>31750</v>
      </c>
      <c r="G126" s="72">
        <f t="shared" ref="G126" si="282">SUM(G124:G125)</f>
        <v>27900</v>
      </c>
      <c r="H126" s="72">
        <f t="shared" ref="H126" si="283">SUM(H124:H125)</f>
        <v>3750</v>
      </c>
      <c r="I126" s="72">
        <f t="shared" ref="I126" si="284">SUM(I124:I125)</f>
        <v>21050</v>
      </c>
      <c r="J126" s="72">
        <f t="shared" ref="J126" si="285">SUM(J124:J125)</f>
        <v>8850</v>
      </c>
      <c r="K126" s="72">
        <f t="shared" ref="K126" si="286">SUM(K124:K125)</f>
        <v>0</v>
      </c>
      <c r="L126" s="72">
        <f t="shared" ref="L126" si="287">SUM(L124:L125)</f>
        <v>0</v>
      </c>
      <c r="M126" s="72">
        <f t="shared" ref="M126" si="288">SUM(M124:M125)</f>
        <v>0</v>
      </c>
      <c r="N126" s="72">
        <f t="shared" ref="N126" si="289">SUM(N124:N125)</f>
        <v>112150</v>
      </c>
    </row>
    <row r="127" spans="1:14" x14ac:dyDescent="0.2">
      <c r="A127" s="67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1:14" x14ac:dyDescent="0.2">
      <c r="A128" s="67" t="s">
        <v>177</v>
      </c>
      <c r="B128" s="105">
        <v>0</v>
      </c>
      <c r="C128" s="105"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72">
        <f>SUM(B128:M128)</f>
        <v>0</v>
      </c>
    </row>
    <row r="129" spans="1:14" x14ac:dyDescent="0.2">
      <c r="A129" s="67" t="s">
        <v>178</v>
      </c>
      <c r="B129" s="121">
        <f>B113/4*3</f>
        <v>0</v>
      </c>
      <c r="C129" s="121">
        <f t="shared" ref="C129:M129" si="290">C113/4*3</f>
        <v>0</v>
      </c>
      <c r="D129" s="121">
        <f t="shared" si="290"/>
        <v>0</v>
      </c>
      <c r="E129" s="121">
        <f t="shared" si="290"/>
        <v>56550</v>
      </c>
      <c r="F129" s="121">
        <f t="shared" si="290"/>
        <v>95250</v>
      </c>
      <c r="G129" s="121">
        <f t="shared" si="290"/>
        <v>83700</v>
      </c>
      <c r="H129" s="121">
        <f t="shared" si="290"/>
        <v>11250</v>
      </c>
      <c r="I129" s="121">
        <f t="shared" si="290"/>
        <v>63150</v>
      </c>
      <c r="J129" s="121">
        <f t="shared" si="290"/>
        <v>26550</v>
      </c>
      <c r="K129" s="121">
        <f t="shared" si="290"/>
        <v>0</v>
      </c>
      <c r="L129" s="121">
        <f t="shared" si="290"/>
        <v>0</v>
      </c>
      <c r="M129" s="121">
        <f t="shared" si="290"/>
        <v>0</v>
      </c>
      <c r="N129" s="121">
        <f t="shared" ref="N129" si="291">SUM(B129:M129)</f>
        <v>336450</v>
      </c>
    </row>
    <row r="130" spans="1:14" x14ac:dyDescent="0.2">
      <c r="A130" s="67" t="s">
        <v>115</v>
      </c>
      <c r="B130" s="72">
        <f>SUM(B128:B129)</f>
        <v>0</v>
      </c>
      <c r="C130" s="72">
        <f t="shared" ref="C130" si="292">SUM(C128:C129)</f>
        <v>0</v>
      </c>
      <c r="D130" s="72">
        <f t="shared" ref="D130" si="293">SUM(D128:D129)</f>
        <v>0</v>
      </c>
      <c r="E130" s="72">
        <f t="shared" ref="E130" si="294">SUM(E128:E129)</f>
        <v>56550</v>
      </c>
      <c r="F130" s="72">
        <f t="shared" ref="F130" si="295">SUM(F128:F129)</f>
        <v>95250</v>
      </c>
      <c r="G130" s="72">
        <f t="shared" ref="G130" si="296">SUM(G128:G129)</f>
        <v>83700</v>
      </c>
      <c r="H130" s="72">
        <f t="shared" ref="H130" si="297">SUM(H128:H129)</f>
        <v>11250</v>
      </c>
      <c r="I130" s="72">
        <f t="shared" ref="I130" si="298">SUM(I128:I129)</f>
        <v>63150</v>
      </c>
      <c r="J130" s="72">
        <f t="shared" ref="J130" si="299">SUM(J128:J129)</f>
        <v>26550</v>
      </c>
      <c r="K130" s="72">
        <f t="shared" ref="K130" si="300">SUM(K128:K129)</f>
        <v>0</v>
      </c>
      <c r="L130" s="72">
        <f t="shared" ref="L130" si="301">SUM(L128:L129)</f>
        <v>0</v>
      </c>
      <c r="M130" s="72">
        <f t="shared" ref="M130" si="302">SUM(M128:M129)</f>
        <v>0</v>
      </c>
      <c r="N130" s="72">
        <f t="shared" ref="N130" si="303">SUM(N128:N129)</f>
        <v>336450</v>
      </c>
    </row>
    <row r="131" spans="1:14" x14ac:dyDescent="0.2">
      <c r="A131" s="67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1:14" x14ac:dyDescent="0.2">
      <c r="A132" s="67" t="s">
        <v>154</v>
      </c>
      <c r="B132" s="105">
        <f>'[4]SPA-WELLINGTON'!$X$8</f>
        <v>52000</v>
      </c>
      <c r="C132" s="105">
        <f>'[4]SPA-WELLINGTON'!$X$9</f>
        <v>312000</v>
      </c>
      <c r="D132" s="105">
        <f>'[4]SPA-WELLINGTON'!$X$10</f>
        <v>366000</v>
      </c>
      <c r="E132" s="105">
        <f>'[4]SPA-WELLINGTON'!$X$11</f>
        <v>608000</v>
      </c>
      <c r="F132" s="105">
        <f>'[4]SPA-WELLINGTON'!$X$12</f>
        <v>0</v>
      </c>
      <c r="G132" s="105">
        <f>'[4]SPA-WELLINGTON'!$X$13</f>
        <v>0</v>
      </c>
      <c r="H132" s="105">
        <f>'[4]SPA-WELLINGTON'!$X$14</f>
        <v>0</v>
      </c>
      <c r="I132" s="105">
        <f>'[4]SPA-WELLINGTON'!$X$15</f>
        <v>0</v>
      </c>
      <c r="J132" s="105">
        <f>'[4]SPA-WELLINGTON'!$X$16</f>
        <v>0</v>
      </c>
      <c r="K132" s="105">
        <f>'[4]SPA-WELLINGTON'!$X$17</f>
        <v>0</v>
      </c>
      <c r="L132" s="105">
        <f>'[4]SPA-WELLINGTON'!$X$18</f>
        <v>0</v>
      </c>
      <c r="M132" s="105">
        <f>'[4]SPA-WELLINGTON'!$X$19</f>
        <v>0</v>
      </c>
      <c r="N132" s="72">
        <f>SUM(B132:M132)</f>
        <v>1338000</v>
      </c>
    </row>
    <row r="133" spans="1:14" x14ac:dyDescent="0.2">
      <c r="A133" s="67" t="s">
        <v>167</v>
      </c>
      <c r="B133" s="73">
        <f>'[5]SPA-WELLINGTON'!$X$8</f>
        <v>0</v>
      </c>
      <c r="C133" s="73">
        <f>'[5]SPA-WELLINGTON'!$X$9</f>
        <v>0</v>
      </c>
      <c r="D133" s="73">
        <f>'[5]SPA-WELLINGTON'!$X$10</f>
        <v>0</v>
      </c>
      <c r="E133" s="73">
        <f>'[5]SPA-WELLINGTON'!$X$11</f>
        <v>352000</v>
      </c>
      <c r="F133" s="73">
        <f>'[5]SPA-WELLINGTON'!$X$12</f>
        <v>558000</v>
      </c>
      <c r="G133" s="73">
        <f>'[5]SPA-WELLINGTON'!$X$13</f>
        <v>588000</v>
      </c>
      <c r="H133" s="73">
        <f>'[5]SPA-WELLINGTON'!$X$14</f>
        <v>90000</v>
      </c>
      <c r="I133" s="73">
        <f>'[5]SPA-WELLINGTON'!$X$15</f>
        <v>467000</v>
      </c>
      <c r="J133" s="73">
        <f>'[5]SPA-WELLINGTON'!$X$16</f>
        <v>168000</v>
      </c>
      <c r="K133" s="73">
        <f>'[5]SPA-WELLINGTON'!$X$17</f>
        <v>0</v>
      </c>
      <c r="L133" s="73">
        <f>'[5]SPA-WELLINGTON'!$X$18</f>
        <v>0</v>
      </c>
      <c r="M133" s="73">
        <f>'[5]SPA-WELLINGTON'!$X$19</f>
        <v>0</v>
      </c>
      <c r="N133" s="73">
        <f t="shared" ref="N133:N134" si="304">SUM(B133:M133)</f>
        <v>2223000</v>
      </c>
    </row>
    <row r="134" spans="1:14" x14ac:dyDescent="0.2">
      <c r="A134" s="67" t="s">
        <v>115</v>
      </c>
      <c r="B134" s="72">
        <f>SUM(B132:B133)/2</f>
        <v>26000</v>
      </c>
      <c r="C134" s="72">
        <f t="shared" ref="C134" si="305">SUM(C132:C133)/2</f>
        <v>156000</v>
      </c>
      <c r="D134" s="72">
        <f t="shared" ref="D134" si="306">SUM(D132:D133)/2</f>
        <v>183000</v>
      </c>
      <c r="E134" s="72">
        <f t="shared" ref="E134" si="307">SUM(E132:E133)/2</f>
        <v>480000</v>
      </c>
      <c r="F134" s="72">
        <f t="shared" ref="F134" si="308">SUM(F132:F133)/2</f>
        <v>279000</v>
      </c>
      <c r="G134" s="72">
        <f t="shared" ref="G134" si="309">SUM(G132:G133)/2</f>
        <v>294000</v>
      </c>
      <c r="H134" s="72">
        <f t="shared" ref="H134" si="310">SUM(H132:H133)/2</f>
        <v>45000</v>
      </c>
      <c r="I134" s="72">
        <f t="shared" ref="I134" si="311">SUM(I132:I133)/2</f>
        <v>233500</v>
      </c>
      <c r="J134" s="72">
        <f t="shared" ref="J134" si="312">SUM(J132:J133)/2</f>
        <v>84000</v>
      </c>
      <c r="K134" s="72">
        <f t="shared" ref="K134" si="313">SUM(K132:K133)/2</f>
        <v>0</v>
      </c>
      <c r="L134" s="72">
        <f t="shared" ref="L134" si="314">SUM(L132:L133)/2</f>
        <v>0</v>
      </c>
      <c r="M134" s="72">
        <f t="shared" ref="M134" si="315">SUM(M132:M133)/2</f>
        <v>0</v>
      </c>
      <c r="N134" s="72">
        <f t="shared" si="304"/>
        <v>1780500</v>
      </c>
    </row>
    <row r="135" spans="1:14" x14ac:dyDescent="0.2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1:14" x14ac:dyDescent="0.2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1:14" x14ac:dyDescent="0.2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x14ac:dyDescent="0.2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1:14" x14ac:dyDescent="0.2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1:14" x14ac:dyDescent="0.2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1:14" x14ac:dyDescent="0.2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1:14" x14ac:dyDescent="0.2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1:14" x14ac:dyDescent="0.2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1:14" x14ac:dyDescent="0.2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</sheetData>
  <pageMargins left="0.2" right="0.2" top="0.5" bottom="0.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1"/>
  <sheetViews>
    <sheetView workbookViewId="0">
      <selection activeCell="D23" sqref="D23:D24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9.5703125" style="2" customWidth="1"/>
    <col min="9" max="9" width="1.7109375" style="2" customWidth="1"/>
    <col min="10" max="10" width="9.5703125" style="2" customWidth="1"/>
    <col min="11" max="11" width="2.7109375" style="2" customWidth="1"/>
    <col min="12" max="12" width="9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90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SUMMARY!F8</f>
        <v>2015</v>
      </c>
      <c r="I9" s="61"/>
      <c r="J9" s="62">
        <f>SUMMARY!H8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44" t="s">
        <v>24</v>
      </c>
      <c r="K10" s="3"/>
      <c r="L10" s="5" t="s">
        <v>25</v>
      </c>
    </row>
    <row r="11" spans="1:12" ht="6.95" customHeight="1" x14ac:dyDescent="0.2">
      <c r="G11" s="7"/>
      <c r="J11" s="43"/>
    </row>
    <row r="12" spans="1:12" ht="15.95" customHeight="1" x14ac:dyDescent="0.2">
      <c r="B12" s="2" t="s">
        <v>39</v>
      </c>
      <c r="D12"/>
      <c r="G12" s="7"/>
      <c r="J12" s="43"/>
    </row>
    <row r="13" spans="1:12" ht="15.95" customHeight="1" x14ac:dyDescent="0.2">
      <c r="C13" s="2" t="s">
        <v>83</v>
      </c>
      <c r="D13" s="74">
        <f>'SWPA Charges by City'!B26</f>
        <v>4.55</v>
      </c>
      <c r="E13" s="2" t="s">
        <v>84</v>
      </c>
      <c r="G13" s="7"/>
      <c r="H13" s="9">
        <f>'SWPA Charges by City'!N29</f>
        <v>32760</v>
      </c>
      <c r="I13" s="10"/>
      <c r="J13" s="45">
        <f>[1]AUG!$H$13</f>
        <v>32400</v>
      </c>
      <c r="L13" s="9">
        <f>-H13+J13</f>
        <v>-360</v>
      </c>
    </row>
    <row r="14" spans="1:12" ht="14.1" customHeight="1" x14ac:dyDescent="0.2">
      <c r="B14" s="6"/>
      <c r="C14" s="26" t="s">
        <v>40</v>
      </c>
      <c r="D14" s="35">
        <f>'SWPA Charges by City'!B48</f>
        <v>0</v>
      </c>
      <c r="E14" s="2" t="s">
        <v>41</v>
      </c>
      <c r="F14" s="30">
        <f>'SWPA Charges by City'!N66*12</f>
        <v>5.46</v>
      </c>
      <c r="G14" s="7"/>
      <c r="H14" s="10">
        <f>+ROUND(D14*F14,0)</f>
        <v>0</v>
      </c>
      <c r="J14" s="50">
        <f>[1]AUG!$H$14</f>
        <v>0</v>
      </c>
      <c r="L14" s="10">
        <f>-H14+J14</f>
        <v>0</v>
      </c>
    </row>
    <row r="15" spans="1:12" ht="14.1" customHeight="1" x14ac:dyDescent="0.2">
      <c r="G15" s="7"/>
      <c r="J15" s="50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City'!B8</f>
        <v>600</v>
      </c>
      <c r="E17" s="2" t="s">
        <v>41</v>
      </c>
      <c r="F17" s="84">
        <f>0.0112*12</f>
        <v>0.13439999999999999</v>
      </c>
      <c r="G17" s="7"/>
      <c r="H17" s="2">
        <f>D17*F17</f>
        <v>80.64</v>
      </c>
      <c r="J17" s="50">
        <f>[1]AUG!$H$17</f>
        <v>80.64</v>
      </c>
      <c r="L17" s="10">
        <f>-H17+J17</f>
        <v>0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600</v>
      </c>
      <c r="E20" s="2" t="s">
        <v>41</v>
      </c>
      <c r="F20" s="84">
        <f>F17</f>
        <v>0.13439999999999999</v>
      </c>
      <c r="G20" s="7"/>
      <c r="H20" s="2">
        <f>D20*F20</f>
        <v>80.64</v>
      </c>
      <c r="J20" s="50">
        <f>[1]AUG!$H$20</f>
        <v>80.64</v>
      </c>
      <c r="L20" s="10">
        <f>-H20+J20</f>
        <v>0</v>
      </c>
    </row>
    <row r="21" spans="2:12" ht="14.1" customHeight="1" x14ac:dyDescent="0.2">
      <c r="G21" s="7"/>
      <c r="J21" s="50"/>
    </row>
    <row r="22" spans="2:12" ht="15.95" customHeight="1" x14ac:dyDescent="0.2">
      <c r="B22" s="2" t="s">
        <v>42</v>
      </c>
      <c r="G22" s="7"/>
      <c r="J22" s="43"/>
    </row>
    <row r="23" spans="2:12" ht="15.95" customHeight="1" x14ac:dyDescent="0.2">
      <c r="C23" s="2" t="s">
        <v>86</v>
      </c>
      <c r="D23" s="2">
        <f>'SWPA Charges by City'!N88/1000</f>
        <v>720</v>
      </c>
      <c r="E23" s="2" t="s">
        <v>44</v>
      </c>
      <c r="F23" s="20">
        <f>'SWPA Charges by City'!N106</f>
        <v>17.408299999999997</v>
      </c>
      <c r="G23" s="7"/>
      <c r="H23" s="10">
        <f>+ROUND(D23*F23,0)</f>
        <v>12534</v>
      </c>
      <c r="J23" s="50">
        <f>[1]AUG!$H$23</f>
        <v>12534</v>
      </c>
      <c r="L23" s="10">
        <f>-H23+J23</f>
        <v>0</v>
      </c>
    </row>
    <row r="24" spans="2:12" ht="15.95" customHeight="1" x14ac:dyDescent="0.2">
      <c r="C24" s="2" t="s">
        <v>85</v>
      </c>
      <c r="D24" s="2">
        <f>'SWPA Charges by City'!N147/1000</f>
        <v>422.5</v>
      </c>
      <c r="E24" s="2" t="s">
        <v>44</v>
      </c>
      <c r="F24" s="20">
        <f>'SWPA Charges by City'!N165</f>
        <v>9.5</v>
      </c>
      <c r="G24" s="7"/>
      <c r="H24" s="10">
        <f>+ROUND(D24*F24,0)</f>
        <v>4014</v>
      </c>
      <c r="J24" s="50">
        <f>[1]AUG!$H$24</f>
        <v>3022</v>
      </c>
      <c r="L24" s="10">
        <f>-H24+J24</f>
        <v>-992</v>
      </c>
    </row>
    <row r="25" spans="2:12" ht="14.1" customHeight="1" x14ac:dyDescent="0.2">
      <c r="C25" s="2" t="s">
        <v>43</v>
      </c>
      <c r="G25" s="7"/>
      <c r="J25" s="50"/>
    </row>
    <row r="26" spans="2:12" ht="14.1" customHeight="1" x14ac:dyDescent="0.2">
      <c r="D26" s="10">
        <f>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50">
        <f>[1]AUG!$H$26</f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50"/>
      <c r="L27" s="10"/>
    </row>
    <row r="28" spans="2:12" ht="14.1" customHeight="1" x14ac:dyDescent="0.2">
      <c r="D28" s="10"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50">
        <f>[1]AUG!$H$28</f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50"/>
      <c r="L29" s="10"/>
    </row>
    <row r="30" spans="2:12" ht="12" customHeight="1" x14ac:dyDescent="0.2">
      <c r="B30" s="2" t="s">
        <v>80</v>
      </c>
      <c r="F30" s="30"/>
      <c r="G30" s="7"/>
      <c r="J30" s="50"/>
    </row>
    <row r="31" spans="2:12" ht="12.95" customHeight="1" x14ac:dyDescent="0.2">
      <c r="C31" s="2" t="s">
        <v>77</v>
      </c>
      <c r="G31" s="7"/>
      <c r="H31" s="10">
        <f>'SWPA Charges by City'!N206</f>
        <v>164</v>
      </c>
      <c r="J31" s="50">
        <f>[1]AUG!$H$31</f>
        <v>160.43478260869571</v>
      </c>
      <c r="L31" s="10">
        <f>-H31+J31</f>
        <v>-3.5652173913042873</v>
      </c>
    </row>
    <row r="32" spans="2:12" ht="14.1" customHeight="1" x14ac:dyDescent="0.2">
      <c r="G32" s="7"/>
      <c r="J32" s="50"/>
    </row>
    <row r="33" spans="2:12" ht="12.95" customHeight="1" x14ac:dyDescent="0.2">
      <c r="B33" s="2" t="s">
        <v>123</v>
      </c>
      <c r="D33" s="87">
        <f>[2]Alloc!$N$25</f>
        <v>62822</v>
      </c>
      <c r="E33" s="2" t="s">
        <v>124</v>
      </c>
      <c r="F33" s="86">
        <f>'SWPA Charges by City'!O88</f>
        <v>6.4516129032258063E-2</v>
      </c>
      <c r="G33" s="7"/>
      <c r="H33" s="50">
        <f>D33*F33</f>
        <v>4053.0322580645161</v>
      </c>
      <c r="J33" s="50">
        <f>[1]AUG!$H$33</f>
        <v>4033.829258497195</v>
      </c>
      <c r="L33" s="10">
        <f>-H33+J33</f>
        <v>-19.202999567321058</v>
      </c>
    </row>
    <row r="34" spans="2:12" ht="12.95" customHeight="1" x14ac:dyDescent="0.2">
      <c r="B34" s="22"/>
      <c r="F34" s="20"/>
      <c r="G34" s="7"/>
      <c r="H34" s="10"/>
      <c r="J34" s="5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53686.312258064514</v>
      </c>
      <c r="J35" s="46">
        <f>+SUM(J13:J34)</f>
        <v>52311.544041105888</v>
      </c>
      <c r="L35" s="46">
        <f>-H35+J35</f>
        <v>-1374.768216958626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40" spans="2:12" ht="12" x14ac:dyDescent="0.2"/>
    <row r="41" spans="2:12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9.5703125" style="2" customWidth="1"/>
    <col min="9" max="9" width="1.7109375" style="2" customWidth="1"/>
    <col min="10" max="10" width="9.5703125" style="2" customWidth="1"/>
    <col min="11" max="11" width="2.7109375" style="2" customWidth="1"/>
    <col min="12" max="12" width="9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01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135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01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01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02" t="s">
        <v>92</v>
      </c>
    </row>
    <row r="9" spans="1:12" ht="14.1" customHeight="1" x14ac:dyDescent="0.2">
      <c r="G9" s="7"/>
      <c r="H9" s="60">
        <f>SUMMARY!F8</f>
        <v>2015</v>
      </c>
      <c r="I9" s="61"/>
      <c r="J9" s="62">
        <f>SUMMARY!H8</f>
        <v>2014</v>
      </c>
      <c r="K9" s="102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02"/>
      <c r="J10" s="44" t="s">
        <v>24</v>
      </c>
      <c r="K10" s="102"/>
      <c r="L10" s="5" t="s">
        <v>25</v>
      </c>
    </row>
    <row r="11" spans="1:12" ht="6.95" customHeight="1" x14ac:dyDescent="0.2">
      <c r="G11" s="7"/>
      <c r="J11" s="43"/>
    </row>
    <row r="12" spans="1:12" ht="15.95" customHeight="1" x14ac:dyDescent="0.2">
      <c r="B12" s="2" t="s">
        <v>39</v>
      </c>
      <c r="D12"/>
      <c r="G12" s="7"/>
      <c r="J12" s="43"/>
    </row>
    <row r="13" spans="1:12" ht="15.95" customHeight="1" x14ac:dyDescent="0.2">
      <c r="C13" s="2" t="s">
        <v>83</v>
      </c>
      <c r="D13" s="74">
        <f>'SWPA Charges by City'!B26</f>
        <v>4.55</v>
      </c>
      <c r="E13" s="2" t="s">
        <v>84</v>
      </c>
      <c r="G13" s="7"/>
      <c r="H13" s="9">
        <f>'SWPA Charges by City'!N30</f>
        <v>5460</v>
      </c>
      <c r="I13" s="10"/>
      <c r="J13" s="45">
        <f>[1]BAL!$H$13</f>
        <v>5400</v>
      </c>
      <c r="L13" s="9">
        <f>-H13+J13</f>
        <v>-60</v>
      </c>
    </row>
    <row r="14" spans="1:12" ht="14.1" customHeight="1" x14ac:dyDescent="0.2">
      <c r="B14" s="6"/>
      <c r="C14" s="26" t="s">
        <v>40</v>
      </c>
      <c r="D14" s="35">
        <f>'SWPA Charges by City'!B49</f>
        <v>0</v>
      </c>
      <c r="E14" s="2" t="s">
        <v>41</v>
      </c>
      <c r="F14" s="30">
        <f>'SWPA Charges by City'!N66*12</f>
        <v>5.46</v>
      </c>
      <c r="G14" s="7"/>
      <c r="H14" s="10">
        <f>+ROUND(D14*F14,0)</f>
        <v>0</v>
      </c>
      <c r="J14" s="50">
        <f>[1]BAL!$H$14</f>
        <v>0</v>
      </c>
      <c r="L14" s="10">
        <f>-H14+J14</f>
        <v>0</v>
      </c>
    </row>
    <row r="15" spans="1:12" ht="14.1" customHeight="1" x14ac:dyDescent="0.2">
      <c r="G15" s="7"/>
      <c r="J15" s="50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City'!B9</f>
        <v>100</v>
      </c>
      <c r="E17" s="2" t="s">
        <v>41</v>
      </c>
      <c r="F17" s="84">
        <f>AUG!F17</f>
        <v>0.13439999999999999</v>
      </c>
      <c r="G17" s="7"/>
      <c r="H17" s="2">
        <f>D17*F17</f>
        <v>13.44</v>
      </c>
      <c r="J17" s="50">
        <f>[1]BAL!$H$17</f>
        <v>13.44</v>
      </c>
      <c r="L17" s="10">
        <f>-H17+J17</f>
        <v>0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100</v>
      </c>
      <c r="E20" s="2" t="s">
        <v>41</v>
      </c>
      <c r="F20" s="84">
        <f>F17</f>
        <v>0.13439999999999999</v>
      </c>
      <c r="G20" s="7"/>
      <c r="H20" s="2">
        <f>D20*F20</f>
        <v>13.44</v>
      </c>
      <c r="J20" s="50">
        <f>[1]BAL!$H$20</f>
        <v>13.44</v>
      </c>
      <c r="L20" s="10">
        <f>-H20+J20</f>
        <v>0</v>
      </c>
    </row>
    <row r="21" spans="2:12" ht="14.1" customHeight="1" x14ac:dyDescent="0.2">
      <c r="G21" s="7"/>
      <c r="J21" s="50"/>
    </row>
    <row r="22" spans="2:12" ht="15.95" customHeight="1" x14ac:dyDescent="0.2">
      <c r="B22" s="2" t="s">
        <v>42</v>
      </c>
      <c r="G22" s="7"/>
      <c r="J22" s="43"/>
    </row>
    <row r="23" spans="2:12" ht="15.95" customHeight="1" x14ac:dyDescent="0.2">
      <c r="C23" s="2" t="s">
        <v>86</v>
      </c>
      <c r="D23" s="2">
        <f>'SWPA Charges by City'!N89/1000</f>
        <v>240</v>
      </c>
      <c r="E23" s="2" t="s">
        <v>44</v>
      </c>
      <c r="F23" s="20">
        <f>'SWPA Charges by City'!N106</f>
        <v>17.408299999999997</v>
      </c>
      <c r="G23" s="7"/>
      <c r="H23" s="10">
        <f>+ROUND(D23*F23,0)</f>
        <v>4178</v>
      </c>
      <c r="J23" s="50">
        <f>[1]BAL!$H$23</f>
        <v>2942</v>
      </c>
      <c r="L23" s="10">
        <f>-H23+J23</f>
        <v>-1236</v>
      </c>
    </row>
    <row r="24" spans="2:12" ht="15.95" customHeight="1" x14ac:dyDescent="0.2">
      <c r="C24" s="2" t="s">
        <v>85</v>
      </c>
      <c r="D24" s="2">
        <f>'SWPA Charges by City'!N148/1000</f>
        <v>140</v>
      </c>
      <c r="E24" s="2" t="s">
        <v>44</v>
      </c>
      <c r="F24" s="20">
        <f>'SWPA Charges by City'!N165</f>
        <v>9.5</v>
      </c>
      <c r="G24" s="7"/>
      <c r="H24" s="10">
        <f>+ROUND(D24*F24,0)</f>
        <v>1330</v>
      </c>
      <c r="J24" s="50">
        <f>[1]BAL!$H$24</f>
        <v>637</v>
      </c>
      <c r="L24" s="10">
        <f>-H24+J24</f>
        <v>-693</v>
      </c>
    </row>
    <row r="25" spans="2:12" ht="14.1" customHeight="1" x14ac:dyDescent="0.2">
      <c r="C25" s="2" t="s">
        <v>43</v>
      </c>
      <c r="G25" s="7"/>
      <c r="J25" s="50"/>
    </row>
    <row r="26" spans="2:12" ht="14.1" customHeight="1" x14ac:dyDescent="0.2">
      <c r="D26" s="2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50">
        <f>[1]BAL!$H$26</f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50"/>
      <c r="L27" s="10"/>
    </row>
    <row r="28" spans="2:12" ht="14.1" customHeight="1" x14ac:dyDescent="0.2">
      <c r="D28" s="2">
        <f>'SWPA Charges by City'!B49/'SWPA Charges by City'!B9*('SWPA Charges by City'!N148/1000)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50">
        <f>[1]BAL!$H$28</f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50"/>
      <c r="L29" s="10"/>
    </row>
    <row r="30" spans="2:12" ht="12" customHeight="1" x14ac:dyDescent="0.2">
      <c r="B30" s="2" t="s">
        <v>80</v>
      </c>
      <c r="F30" s="30"/>
      <c r="G30" s="7"/>
      <c r="J30" s="50"/>
    </row>
    <row r="31" spans="2:12" ht="12.95" customHeight="1" x14ac:dyDescent="0.2">
      <c r="C31" s="2" t="s">
        <v>77</v>
      </c>
      <c r="G31" s="7"/>
      <c r="H31" s="10">
        <f>'SWPA Charges by City'!N207</f>
        <v>27.333333333333339</v>
      </c>
      <c r="J31" s="50">
        <f>[1]BAL!$H$31</f>
        <v>26.739130434782613</v>
      </c>
      <c r="L31" s="10">
        <f>-H31+J31</f>
        <v>-0.59420289855072639</v>
      </c>
    </row>
    <row r="32" spans="2:12" ht="14.1" customHeight="1" x14ac:dyDescent="0.2">
      <c r="G32" s="7"/>
      <c r="J32" s="50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City'!O89</f>
        <v>2.1505376344086023E-2</v>
      </c>
      <c r="G33" s="7"/>
      <c r="H33" s="50">
        <f>D33*F33</f>
        <v>1351.0107526881723</v>
      </c>
      <c r="J33" s="50">
        <f>[1]BAL!$H$33</f>
        <v>946.82936761948042</v>
      </c>
      <c r="L33" s="10">
        <f>-H33+J33</f>
        <v>-404.18138506869184</v>
      </c>
    </row>
    <row r="34" spans="2:12" ht="12.95" customHeight="1" x14ac:dyDescent="0.2">
      <c r="B34" s="22"/>
      <c r="F34" s="20"/>
      <c r="G34" s="7"/>
      <c r="H34" s="10"/>
      <c r="J34" s="5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12373.224086021506</v>
      </c>
      <c r="J35" s="46">
        <f>+SUM(J13:J34)</f>
        <v>9979.448498054262</v>
      </c>
      <c r="L35" s="46">
        <f>-H35+J35</f>
        <v>-2393.7755879672441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40" spans="2:12" ht="12" x14ac:dyDescent="0.2"/>
    <row r="41" spans="2:12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1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9.5703125" style="2" customWidth="1"/>
    <col min="9" max="9" width="1.7109375" style="2" customWidth="1"/>
    <col min="10" max="10" width="9.5703125" style="2" customWidth="1"/>
    <col min="11" max="11" width="2.7109375" style="2" customWidth="1"/>
    <col min="12" max="12" width="9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47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45">
        <f>'SWPA Charges by City'!N31</f>
        <v>70980</v>
      </c>
      <c r="I13" s="10"/>
      <c r="J13" s="9">
        <f>[1]CHA!$H$13</f>
        <v>81000</v>
      </c>
      <c r="L13" s="9">
        <f>-H13+J13</f>
        <v>10020</v>
      </c>
    </row>
    <row r="14" spans="1:12" ht="14.1" customHeight="1" x14ac:dyDescent="0.2">
      <c r="B14" s="6"/>
      <c r="C14" s="26" t="s">
        <v>40</v>
      </c>
      <c r="D14" s="35">
        <f>'SWPA Charges by City'!B50</f>
        <v>200</v>
      </c>
      <c r="E14" s="2" t="s">
        <v>41</v>
      </c>
      <c r="F14" s="30">
        <f>'SWPA Charges by City'!N66*12</f>
        <v>5.46</v>
      </c>
      <c r="G14" s="7"/>
      <c r="H14" s="50">
        <f>+ROUND(D14*F14,0)</f>
        <v>1092</v>
      </c>
      <c r="J14" s="2">
        <f>[1]CHA!$H$14</f>
        <v>2160</v>
      </c>
      <c r="L14" s="10">
        <f>-H14+J14</f>
        <v>1068</v>
      </c>
    </row>
    <row r="15" spans="1:12" ht="14.1" customHeight="1" x14ac:dyDescent="0.2">
      <c r="G15" s="7"/>
      <c r="H15" s="43"/>
    </row>
    <row r="16" spans="1:12" ht="14.1" customHeight="1" x14ac:dyDescent="0.2">
      <c r="C16" s="2" t="s">
        <v>122</v>
      </c>
      <c r="G16" s="7"/>
      <c r="H16" s="43"/>
      <c r="J16" s="50"/>
    </row>
    <row r="17" spans="2:12" ht="14.1" customHeight="1" x14ac:dyDescent="0.2">
      <c r="D17" s="2">
        <f>'SWPA Charges by City'!B10</f>
        <v>1300</v>
      </c>
      <c r="E17" s="2" t="s">
        <v>41</v>
      </c>
      <c r="F17" s="84">
        <f>AUG!F17</f>
        <v>0.13439999999999999</v>
      </c>
      <c r="G17" s="7"/>
      <c r="H17" s="43">
        <f>D17*F17</f>
        <v>174.72</v>
      </c>
      <c r="J17" s="50">
        <f>[1]CHA!$H$17</f>
        <v>201.6</v>
      </c>
      <c r="L17" s="10">
        <f>-H17+J17</f>
        <v>26.879999999999995</v>
      </c>
    </row>
    <row r="18" spans="2:12" ht="14.1" customHeight="1" x14ac:dyDescent="0.2">
      <c r="G18" s="7"/>
      <c r="H18" s="43"/>
      <c r="J18" s="50"/>
    </row>
    <row r="19" spans="2:12" ht="14.1" customHeight="1" x14ac:dyDescent="0.2">
      <c r="C19" s="2" t="s">
        <v>122</v>
      </c>
      <c r="G19" s="7"/>
      <c r="H19" s="43"/>
      <c r="J19" s="50"/>
    </row>
    <row r="20" spans="2:12" ht="14.1" customHeight="1" x14ac:dyDescent="0.2">
      <c r="D20" s="2">
        <f>D17</f>
        <v>1300</v>
      </c>
      <c r="E20" s="2" t="s">
        <v>41</v>
      </c>
      <c r="F20" s="84">
        <f>F17</f>
        <v>0.13439999999999999</v>
      </c>
      <c r="G20" s="7"/>
      <c r="H20" s="43">
        <f>D20*F20</f>
        <v>174.72</v>
      </c>
      <c r="J20" s="50">
        <f>[1]CHA!$H$20</f>
        <v>201.6</v>
      </c>
      <c r="L20" s="10">
        <f>-H20+J20</f>
        <v>26.879999999999995</v>
      </c>
    </row>
    <row r="21" spans="2:12" ht="14.1" customHeight="1" x14ac:dyDescent="0.2">
      <c r="G21" s="7"/>
      <c r="H21" s="43"/>
    </row>
    <row r="22" spans="2:12" ht="15.95" customHeight="1" x14ac:dyDescent="0.2">
      <c r="B22" s="2" t="s">
        <v>42</v>
      </c>
      <c r="G22" s="7"/>
      <c r="H22" s="43"/>
    </row>
    <row r="23" spans="2:12" ht="15.95" customHeight="1" x14ac:dyDescent="0.2">
      <c r="C23" s="2" t="s">
        <v>86</v>
      </c>
      <c r="D23" s="2">
        <f>'SWPA Charges by City'!N90/1000</f>
        <v>1560</v>
      </c>
      <c r="E23" s="2" t="s">
        <v>44</v>
      </c>
      <c r="F23" s="20">
        <f>'SWPA Charges by City'!N106</f>
        <v>17.408299999999997</v>
      </c>
      <c r="G23" s="7"/>
      <c r="H23" s="43">
        <f>+ROUND(D23*F23,0)</f>
        <v>27157</v>
      </c>
      <c r="J23" s="2">
        <f>[1]CHA!$H$23</f>
        <v>31439</v>
      </c>
      <c r="L23" s="10">
        <f>-H23+J23</f>
        <v>4282</v>
      </c>
    </row>
    <row r="24" spans="2:12" ht="15.95" customHeight="1" x14ac:dyDescent="0.2">
      <c r="C24" s="2" t="s">
        <v>85</v>
      </c>
      <c r="D24" s="2">
        <f>'SWPA Charges by City'!N149/1000</f>
        <v>1136</v>
      </c>
      <c r="E24" s="2" t="s">
        <v>44</v>
      </c>
      <c r="F24" s="20">
        <f>'SWPA Charges by City'!N165</f>
        <v>9.5</v>
      </c>
      <c r="G24" s="7"/>
      <c r="H24" s="43">
        <f>+ROUND(D24*F24,0)</f>
        <v>10792</v>
      </c>
      <c r="J24" s="2">
        <f>[1]CHA!$H$24</f>
        <v>9366</v>
      </c>
      <c r="L24" s="10">
        <f>-H24+J24</f>
        <v>-1426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240</v>
      </c>
      <c r="E26" s="2" t="s">
        <v>44</v>
      </c>
      <c r="F26" s="30">
        <f>F23/10</f>
        <v>1.7408299999999997</v>
      </c>
      <c r="G26" s="7"/>
      <c r="H26" s="10">
        <f>+ROUND(D26*F26,0)</f>
        <v>418</v>
      </c>
      <c r="J26" s="2">
        <f>[1]CHA!$H$26</f>
        <v>836</v>
      </c>
      <c r="L26" s="10">
        <f>-H26+J26</f>
        <v>418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'SWPA Charges by City'!B50/'SWPA Charges by City'!B10*('SWPA Charges by City'!N149/1000)</f>
        <v>174.76923076923077</v>
      </c>
      <c r="E28" s="2" t="s">
        <v>44</v>
      </c>
      <c r="F28" s="30">
        <f>F24/10</f>
        <v>0.95</v>
      </c>
      <c r="G28" s="7"/>
      <c r="H28" s="10">
        <f>+ROUND(D28*F28,0)</f>
        <v>166</v>
      </c>
      <c r="J28" s="2">
        <f>[1]CHA!$H$28</f>
        <v>250</v>
      </c>
      <c r="L28" s="10">
        <f>-H28+J28</f>
        <v>84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F30" s="30"/>
      <c r="G30" s="7"/>
    </row>
    <row r="31" spans="2:12" ht="12.95" customHeight="1" x14ac:dyDescent="0.2">
      <c r="C31" s="2" t="s">
        <v>77</v>
      </c>
      <c r="G31" s="7"/>
      <c r="H31" s="10">
        <f>'SWPA Charges by City'!N208</f>
        <v>355.33333333333326</v>
      </c>
      <c r="J31" s="2">
        <f>[1]CHA!$H$31</f>
        <v>401.08695652173907</v>
      </c>
      <c r="L31" s="10">
        <f>-H31+J31</f>
        <v>45.753623188405811</v>
      </c>
    </row>
    <row r="32" spans="2:12" ht="14.1" customHeight="1" x14ac:dyDescent="0.2">
      <c r="G32" s="7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City'!O90</f>
        <v>0.13978494623655913</v>
      </c>
      <c r="G33" s="7"/>
      <c r="H33" s="50">
        <f>D33*F33</f>
        <v>8781.5698924731169</v>
      </c>
      <c r="J33" s="2">
        <f>[1]CHA!$H$33</f>
        <v>10118.188390063797</v>
      </c>
      <c r="L33" s="10">
        <f>-H33+J33</f>
        <v>1336.6184975906799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120091.34322580644</v>
      </c>
      <c r="J35" s="14">
        <f>+SUM(J13:J34)</f>
        <v>135973.47534658556</v>
      </c>
      <c r="L35" s="14">
        <f>-H35+J35</f>
        <v>15882.132120779119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40" spans="2:12" ht="12" x14ac:dyDescent="0.2"/>
    <row r="41" spans="2:12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9"/>
  <sheetViews>
    <sheetView workbookViewId="0">
      <selection activeCell="J16" sqref="J16"/>
    </sheetView>
  </sheetViews>
  <sheetFormatPr defaultRowHeight="14.1" customHeight="1" x14ac:dyDescent="0.2"/>
  <cols>
    <col min="1" max="1" width="7.71093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9.5703125" style="2" customWidth="1"/>
    <col min="9" max="9" width="1.7109375" style="2" customWidth="1"/>
    <col min="10" max="10" width="9.5703125" style="2" customWidth="1"/>
    <col min="11" max="11" width="2.7109375" style="2" customWidth="1"/>
    <col min="12" max="12" width="9.5703125" style="2" bestFit="1" customWidth="1"/>
    <col min="13" max="13" width="0.85546875" style="2" customWidth="1"/>
    <col min="14" max="14" width="7" style="2" bestFit="1" customWidth="1"/>
    <col min="15" max="16384" width="9.140625" style="2"/>
  </cols>
  <sheetData>
    <row r="1" spans="1:14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95" customHeight="1" x14ac:dyDescent="0.2">
      <c r="A2" s="16"/>
      <c r="B2" s="125" t="str">
        <f>+Header</f>
        <v>2011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  <c r="M3" s="16"/>
    </row>
    <row r="4" spans="1:14" ht="15.95" customHeight="1" x14ac:dyDescent="0.2">
      <c r="A4" s="16"/>
      <c r="B4" s="125" t="s">
        <v>89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  <c r="M5" s="16"/>
    </row>
    <row r="6" spans="1:14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  <c r="M6" s="16"/>
    </row>
    <row r="7" spans="1:14" ht="14.1" customHeight="1" x14ac:dyDescent="0.2">
      <c r="C7" s="11"/>
    </row>
    <row r="8" spans="1:14" ht="14.1" customHeight="1" x14ac:dyDescent="0.2">
      <c r="C8" s="11"/>
      <c r="H8" s="3"/>
      <c r="I8" s="3"/>
      <c r="J8" s="3"/>
      <c r="K8" s="3"/>
      <c r="L8" s="3"/>
      <c r="M8" s="3"/>
      <c r="N8" s="3"/>
    </row>
    <row r="9" spans="1:14" ht="14.1" customHeight="1" x14ac:dyDescent="0.2">
      <c r="G9" s="7"/>
      <c r="H9" s="4" t="str">
        <f>+Next</f>
        <v>2011</v>
      </c>
      <c r="I9" s="3"/>
      <c r="J9" s="4" t="str">
        <f>+This</f>
        <v>2010</v>
      </c>
      <c r="K9" s="3"/>
      <c r="L9" s="5"/>
      <c r="M9" s="5" t="s">
        <v>22</v>
      </c>
      <c r="N9" s="5"/>
    </row>
    <row r="10" spans="1:14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  <c r="M10" s="3"/>
      <c r="N10" s="5" t="s">
        <v>26</v>
      </c>
    </row>
    <row r="11" spans="1:14" ht="6.95" customHeight="1" x14ac:dyDescent="0.2">
      <c r="G11" s="7"/>
    </row>
    <row r="12" spans="1:14" ht="15.95" customHeight="1" x14ac:dyDescent="0.2">
      <c r="B12" s="2" t="s">
        <v>39</v>
      </c>
      <c r="D12"/>
      <c r="G12" s="7"/>
    </row>
    <row r="13" spans="1:14" ht="15.95" customHeight="1" x14ac:dyDescent="0.2">
      <c r="C13" s="2" t="s">
        <v>83</v>
      </c>
      <c r="D13" s="39" t="e">
        <f>+'SWPA Charges by City'!#REF!</f>
        <v>#REF!</v>
      </c>
      <c r="E13" s="2" t="s">
        <v>84</v>
      </c>
      <c r="G13" s="7"/>
      <c r="H13" s="9" t="e">
        <f>+ROUND(D13*12*'SWPA Charges by City'!#REF!,0)</f>
        <v>#REF!</v>
      </c>
      <c r="I13" s="10"/>
      <c r="J13" s="9">
        <v>0</v>
      </c>
      <c r="L13" s="9" t="e">
        <f>+H13-J13</f>
        <v>#REF!</v>
      </c>
      <c r="N13" s="12"/>
    </row>
    <row r="14" spans="1:14" ht="14.1" customHeight="1" x14ac:dyDescent="0.2">
      <c r="B14" s="6"/>
      <c r="C14" s="26" t="s">
        <v>40</v>
      </c>
      <c r="D14" s="35" t="e">
        <f>+'SWPA Charges by City'!#REF!</f>
        <v>#REF!</v>
      </c>
      <c r="E14" s="2" t="s">
        <v>41</v>
      </c>
      <c r="F14" s="30" t="e">
        <f>+'SWPA Charges by City'!#REF!*12/10</f>
        <v>#REF!</v>
      </c>
      <c r="G14" s="7"/>
      <c r="H14" s="10" t="e">
        <f>+ROUND(D14*F14,0)</f>
        <v>#REF!</v>
      </c>
      <c r="I14" s="10"/>
      <c r="J14" s="10">
        <v>0</v>
      </c>
      <c r="L14" s="10" t="e">
        <f>+H14-J14</f>
        <v>#REF!</v>
      </c>
      <c r="N14" s="12"/>
    </row>
    <row r="15" spans="1:14" ht="14.1" customHeight="1" x14ac:dyDescent="0.2">
      <c r="G15" s="7"/>
      <c r="H15" s="10"/>
      <c r="I15" s="10"/>
      <c r="J15" s="10"/>
    </row>
    <row r="16" spans="1:14" ht="15.95" customHeight="1" x14ac:dyDescent="0.2">
      <c r="B16" s="2" t="s">
        <v>42</v>
      </c>
      <c r="G16" s="7"/>
      <c r="H16" s="10"/>
      <c r="I16" s="10"/>
      <c r="J16" s="10"/>
    </row>
    <row r="17" spans="2:14" ht="15.95" customHeight="1" x14ac:dyDescent="0.2">
      <c r="C17" s="2" t="s">
        <v>86</v>
      </c>
      <c r="D17" s="2" t="e">
        <f>+'SWPA Charges by City'!#REF!</f>
        <v>#REF!</v>
      </c>
      <c r="E17" s="2" t="s">
        <v>44</v>
      </c>
      <c r="F17" s="20" t="e">
        <f>+'SWPA Charges by City'!#REF!</f>
        <v>#REF!</v>
      </c>
      <c r="G17" s="7"/>
      <c r="H17" s="10" t="e">
        <f>+ROUND(D17*F17,0)</f>
        <v>#REF!</v>
      </c>
      <c r="I17" s="10"/>
      <c r="J17" s="10">
        <v>0</v>
      </c>
      <c r="L17" s="10" t="e">
        <f>+H17-J17</f>
        <v>#REF!</v>
      </c>
      <c r="N17" s="12"/>
    </row>
    <row r="18" spans="2:14" ht="15.95" customHeight="1" x14ac:dyDescent="0.2">
      <c r="C18" s="2" t="s">
        <v>85</v>
      </c>
      <c r="D18" s="2" t="e">
        <f>+'SWPA Charges by City'!#REF!</f>
        <v>#REF!</v>
      </c>
      <c r="E18" s="2" t="s">
        <v>44</v>
      </c>
      <c r="F18" s="20" t="e">
        <f>+'SWPA Charges by City'!#REF!</f>
        <v>#REF!</v>
      </c>
      <c r="G18" s="7"/>
      <c r="H18" s="10" t="e">
        <f>+ROUND(D18*F18,0)</f>
        <v>#REF!</v>
      </c>
      <c r="I18" s="10"/>
      <c r="J18" s="10">
        <v>0</v>
      </c>
      <c r="L18" s="10" t="e">
        <f>+H18-J18</f>
        <v>#REF!</v>
      </c>
      <c r="N18" s="12"/>
    </row>
    <row r="19" spans="2:14" ht="14.1" customHeight="1" x14ac:dyDescent="0.2">
      <c r="C19" s="2" t="s">
        <v>43</v>
      </c>
      <c r="G19" s="7"/>
      <c r="H19" s="10"/>
      <c r="I19" s="10"/>
      <c r="J19" s="10"/>
    </row>
    <row r="20" spans="2:14" ht="14.1" customHeight="1" x14ac:dyDescent="0.2">
      <c r="D20" s="2" t="e">
        <f>+D14*1.2</f>
        <v>#REF!</v>
      </c>
      <c r="E20" s="2" t="s">
        <v>44</v>
      </c>
      <c r="F20" s="30" t="e">
        <f>+'SWPA Charges by City'!#REF!/10</f>
        <v>#REF!</v>
      </c>
      <c r="G20" s="7"/>
      <c r="H20" s="10" t="e">
        <f>+ROUND(D20*F20,0)</f>
        <v>#REF!</v>
      </c>
      <c r="I20" s="10"/>
      <c r="J20" s="10">
        <v>0</v>
      </c>
      <c r="L20" s="10" t="e">
        <f>+H20-J20</f>
        <v>#REF!</v>
      </c>
      <c r="N20" s="12"/>
    </row>
    <row r="21" spans="2:14" ht="14.1" customHeight="1" x14ac:dyDescent="0.2">
      <c r="C21" s="6" t="s">
        <v>45</v>
      </c>
      <c r="F21" s="30"/>
      <c r="G21" s="7"/>
      <c r="H21" s="10"/>
      <c r="I21" s="10"/>
      <c r="J21" s="10"/>
      <c r="L21" s="10"/>
      <c r="N21" s="12"/>
    </row>
    <row r="22" spans="2:14" ht="14.1" customHeight="1" x14ac:dyDescent="0.2">
      <c r="D22" s="2" t="e">
        <f>+'SWPA Charges by City'!#REF!</f>
        <v>#REF!</v>
      </c>
      <c r="E22" s="2" t="s">
        <v>44</v>
      </c>
      <c r="F22" s="30" t="e">
        <f>+'SWPA Charges by City'!#REF!/10</f>
        <v>#REF!</v>
      </c>
      <c r="G22" s="7"/>
      <c r="H22" s="10" t="e">
        <f>+ROUND(D22*F22,0)</f>
        <v>#REF!</v>
      </c>
      <c r="I22" s="10"/>
      <c r="J22" s="10">
        <v>0</v>
      </c>
      <c r="L22" s="10" t="e">
        <f>+H22-J22</f>
        <v>#REF!</v>
      </c>
      <c r="N22" s="12"/>
    </row>
    <row r="23" spans="2:14" ht="14.1" customHeight="1" x14ac:dyDescent="0.2">
      <c r="F23" s="30"/>
      <c r="G23" s="7"/>
      <c r="H23" s="10"/>
      <c r="I23" s="10"/>
      <c r="J23" s="10"/>
      <c r="L23" s="10"/>
      <c r="N23" s="12"/>
    </row>
    <row r="24" spans="2:14" ht="15.95" customHeight="1" x14ac:dyDescent="0.2">
      <c r="B24" s="2" t="s">
        <v>80</v>
      </c>
      <c r="F24" s="30"/>
      <c r="G24" s="7"/>
      <c r="H24" s="10"/>
      <c r="I24" s="10"/>
      <c r="J24" s="10"/>
      <c r="L24" s="10"/>
      <c r="N24" s="12"/>
    </row>
    <row r="25" spans="2:14" ht="12" customHeight="1" x14ac:dyDescent="0.2">
      <c r="C25" s="2" t="s">
        <v>77</v>
      </c>
      <c r="G25" s="7"/>
      <c r="H25" s="10"/>
      <c r="I25" s="10"/>
      <c r="J25" s="10"/>
    </row>
    <row r="26" spans="2:14" ht="12.95" customHeight="1" x14ac:dyDescent="0.2">
      <c r="D26" s="2" t="e">
        <f>+'SWPA Charges by City'!#REF!</f>
        <v>#REF!</v>
      </c>
      <c r="E26" s="2" t="s">
        <v>78</v>
      </c>
      <c r="G26" s="7"/>
      <c r="H26" s="10" t="e">
        <f>+ROUND('SWPA Charges by City'!#REF!*('SWPA Charges by City'!#REF!/'SWPA Charges by City'!#REF!),0)</f>
        <v>#REF!</v>
      </c>
      <c r="I26" s="10"/>
      <c r="J26" s="10">
        <v>0</v>
      </c>
      <c r="L26" s="10" t="e">
        <f>+H26-J26</f>
        <v>#REF!</v>
      </c>
      <c r="N26" s="12"/>
    </row>
    <row r="27" spans="2:14" ht="14.1" customHeight="1" x14ac:dyDescent="0.2">
      <c r="G27" s="7"/>
      <c r="I27" s="10"/>
      <c r="J27" s="10"/>
    </row>
    <row r="28" spans="2:14" ht="18" customHeight="1" x14ac:dyDescent="0.2">
      <c r="B28" s="2" t="s">
        <v>76</v>
      </c>
      <c r="G28" s="7"/>
      <c r="I28" s="10"/>
      <c r="J28" s="10"/>
    </row>
    <row r="29" spans="2:14" ht="12" customHeight="1" x14ac:dyDescent="0.2">
      <c r="C29" s="2" t="s">
        <v>77</v>
      </c>
      <c r="G29" s="7"/>
      <c r="I29" s="10"/>
      <c r="J29" s="10"/>
    </row>
    <row r="30" spans="2:14" ht="12.95" customHeight="1" x14ac:dyDescent="0.2">
      <c r="B30" s="22"/>
      <c r="D30" s="2" t="e">
        <f>+D26</f>
        <v>#REF!</v>
      </c>
      <c r="E30" s="2" t="s">
        <v>78</v>
      </c>
      <c r="F30" s="20"/>
      <c r="G30" s="7"/>
      <c r="H30" s="10" t="e">
        <f>+ROUND('SWPA Charges by City'!#REF!*('SWPA Charges by City'!#REF!/'SWPA Charges by City'!#REF!),0)</f>
        <v>#REF!</v>
      </c>
      <c r="I30" s="10"/>
      <c r="J30" s="10">
        <v>0</v>
      </c>
      <c r="L30" s="10" t="e">
        <f>+H30-J30</f>
        <v>#REF!</v>
      </c>
      <c r="N30" s="12"/>
    </row>
    <row r="31" spans="2:14" ht="12.95" customHeight="1" x14ac:dyDescent="0.2">
      <c r="B31" s="22"/>
      <c r="F31" s="20"/>
      <c r="G31" s="7"/>
      <c r="H31" s="10"/>
      <c r="I31" s="10"/>
      <c r="J31" s="10"/>
      <c r="L31" s="10"/>
      <c r="N31" s="12"/>
    </row>
    <row r="32" spans="2:14" ht="12.95" customHeight="1" x14ac:dyDescent="0.2">
      <c r="B32" s="22" t="s">
        <v>82</v>
      </c>
      <c r="F32" s="20"/>
      <c r="G32" s="7"/>
      <c r="H32" s="10" t="e">
        <f>+'SWPA Charges by City'!#REF!</f>
        <v>#REF!</v>
      </c>
      <c r="J32" s="10">
        <v>0</v>
      </c>
      <c r="L32" s="10" t="e">
        <f>+H32-J32</f>
        <v>#REF!</v>
      </c>
      <c r="N32" s="12"/>
    </row>
    <row r="33" spans="2:14" ht="27.95" customHeight="1" thickBot="1" x14ac:dyDescent="0.25">
      <c r="B33" s="2" t="s">
        <v>46</v>
      </c>
      <c r="F33" s="21"/>
      <c r="G33" s="7"/>
      <c r="H33" s="14" t="e">
        <f>+SUM(H13:H32)</f>
        <v>#REF!</v>
      </c>
      <c r="J33" s="14">
        <f>+SUM(J13:J32)</f>
        <v>0</v>
      </c>
      <c r="L33" s="14" t="e">
        <f>+H33-J33</f>
        <v>#REF!</v>
      </c>
      <c r="N33" s="12"/>
    </row>
    <row r="34" spans="2:14" ht="15.95" customHeight="1" thickTop="1" x14ac:dyDescent="0.2">
      <c r="G34" s="7"/>
    </row>
    <row r="35" spans="2:14" ht="15.95" customHeight="1" x14ac:dyDescent="0.2">
      <c r="G35" s="7"/>
    </row>
    <row r="36" spans="2:14" ht="15.95" customHeight="1" x14ac:dyDescent="0.2">
      <c r="G36" s="7"/>
    </row>
    <row r="38" spans="2:14" ht="12" x14ac:dyDescent="0.2"/>
    <row r="39" spans="2:14" ht="12" x14ac:dyDescent="0.2"/>
  </sheetData>
  <mergeCells count="3">
    <mergeCell ref="B1:N1"/>
    <mergeCell ref="B2:N2"/>
    <mergeCell ref="B4:N4"/>
  </mergeCells>
  <phoneticPr fontId="0" type="noConversion"/>
  <pageMargins left="0.75" right="0.75" top="0.75" bottom="1" header="0.5" footer="0.5"/>
  <pageSetup orientation="portrait" horizontalDpi="4294967292" r:id="rId1"/>
  <headerFooter alignWithMargins="0">
    <oddFooter>&amp;C&amp;8SWPA PROJECT - CHANUTE
&amp;R&amp;8Page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49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8.570312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7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7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7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3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3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3"/>
      <c r="J10" s="5" t="s">
        <v>24</v>
      </c>
      <c r="K10" s="3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City'!N32</f>
        <v>21840</v>
      </c>
      <c r="I13" s="10"/>
      <c r="J13" s="9">
        <f>[1]GARN!$H$13</f>
        <v>21600</v>
      </c>
      <c r="L13" s="9">
        <f>-H13+J13</f>
        <v>-240</v>
      </c>
    </row>
    <row r="14" spans="1:12" ht="14.1" customHeight="1" x14ac:dyDescent="0.2">
      <c r="B14" s="6"/>
      <c r="C14" s="26" t="s">
        <v>40</v>
      </c>
      <c r="D14" s="35">
        <f>'SWPA Charges by City'!B51</f>
        <v>100</v>
      </c>
      <c r="E14" s="2" t="s">
        <v>41</v>
      </c>
      <c r="F14" s="30">
        <f>'SWPA Charges by City'!N66*12</f>
        <v>5.46</v>
      </c>
      <c r="G14" s="7"/>
      <c r="H14" s="10">
        <f>+ROUND(D14*F14,0)</f>
        <v>546</v>
      </c>
      <c r="J14" s="2">
        <f>[1]GARN!$H$14</f>
        <v>540</v>
      </c>
      <c r="L14" s="10">
        <f>-H14+J14</f>
        <v>-6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City'!B11</f>
        <v>400</v>
      </c>
      <c r="E17" s="2" t="s">
        <v>41</v>
      </c>
      <c r="F17" s="84">
        <f>AUG!F17</f>
        <v>0.13439999999999999</v>
      </c>
      <c r="G17" s="7"/>
      <c r="H17" s="2">
        <f>D17*F17</f>
        <v>53.76</v>
      </c>
      <c r="J17" s="50">
        <f>[1]GARN!$H$17</f>
        <v>53.76</v>
      </c>
      <c r="L17" s="10">
        <f>-H17+J17</f>
        <v>0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400</v>
      </c>
      <c r="E20" s="2" t="s">
        <v>41</v>
      </c>
      <c r="F20" s="84">
        <f>F17</f>
        <v>0.13439999999999999</v>
      </c>
      <c r="G20" s="7"/>
      <c r="H20" s="2">
        <f>D20*F20</f>
        <v>53.76</v>
      </c>
      <c r="J20" s="50">
        <f>[1]GARN!$H$20</f>
        <v>53.76</v>
      </c>
      <c r="L20" s="10">
        <f>-H20+J20</f>
        <v>0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City'!N91/1000</f>
        <v>480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8356</v>
      </c>
      <c r="J23" s="2">
        <f>[1]GARN!$H$23</f>
        <v>8967</v>
      </c>
      <c r="L23" s="10">
        <f>-H23+J23</f>
        <v>611</v>
      </c>
    </row>
    <row r="24" spans="2:12" ht="15.95" customHeight="1" x14ac:dyDescent="0.2">
      <c r="C24" s="2" t="s">
        <v>85</v>
      </c>
      <c r="D24" s="2">
        <f>'SWPA Charges by City'!N150/1000</f>
        <v>349.8</v>
      </c>
      <c r="E24" s="2" t="s">
        <v>44</v>
      </c>
      <c r="F24" s="20">
        <f>'SWPA Charges by City'!N165</f>
        <v>9.5</v>
      </c>
      <c r="G24" s="7"/>
      <c r="H24" s="2">
        <f>+ROUND(D24*F24,0)</f>
        <v>3323</v>
      </c>
      <c r="J24" s="2">
        <f>[1]GARN!$H$24</f>
        <v>2788</v>
      </c>
      <c r="L24" s="10">
        <f>-H24+J24</f>
        <v>-535</v>
      </c>
    </row>
    <row r="25" spans="2:12" ht="14.1" customHeight="1" x14ac:dyDescent="0.2">
      <c r="C25" s="2" t="s">
        <v>43</v>
      </c>
      <c r="G25" s="7"/>
    </row>
    <row r="26" spans="2:12" ht="14.1" customHeight="1" x14ac:dyDescent="0.2">
      <c r="D26" s="2">
        <f>+D14*1.2</f>
        <v>120</v>
      </c>
      <c r="E26" s="2" t="s">
        <v>44</v>
      </c>
      <c r="F26" s="30">
        <f>F23/10</f>
        <v>1.7408299999999997</v>
      </c>
      <c r="G26" s="7"/>
      <c r="H26" s="10">
        <f>+ROUND(D26*F26,0)</f>
        <v>209</v>
      </c>
      <c r="J26" s="2">
        <f>[1]GARN!$H$26</f>
        <v>209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L27" s="10"/>
    </row>
    <row r="28" spans="2:12" ht="14.1" customHeight="1" x14ac:dyDescent="0.2">
      <c r="D28" s="2">
        <f>('SWPA Charges by City'!B51/'SWPA Charges by City'!B11)*('SWPA Charges by City'!N150/1000)</f>
        <v>87.45</v>
      </c>
      <c r="E28" s="2" t="s">
        <v>44</v>
      </c>
      <c r="F28" s="30">
        <f>F24/10</f>
        <v>0.95</v>
      </c>
      <c r="G28" s="7"/>
      <c r="H28" s="10">
        <f>+ROUND(D28*F28,0)</f>
        <v>83</v>
      </c>
      <c r="J28" s="2">
        <f>[1]GARN!$H$28</f>
        <v>70</v>
      </c>
      <c r="L28" s="10">
        <f>-H28+J28</f>
        <v>-13</v>
      </c>
    </row>
    <row r="29" spans="2:12" ht="14.1" customHeight="1" x14ac:dyDescent="0.2">
      <c r="F29" s="30"/>
      <c r="G29" s="7"/>
      <c r="H29" s="10"/>
      <c r="L29" s="10"/>
    </row>
    <row r="30" spans="2:12" ht="12" customHeight="1" x14ac:dyDescent="0.2">
      <c r="B30" s="2" t="s">
        <v>80</v>
      </c>
      <c r="F30" s="30"/>
      <c r="G30" s="7"/>
    </row>
    <row r="31" spans="2:12" ht="12.95" customHeight="1" x14ac:dyDescent="0.2">
      <c r="C31" s="2" t="s">
        <v>77</v>
      </c>
      <c r="G31" s="7"/>
      <c r="H31" s="10">
        <f>'SWPA Charges by City'!N209</f>
        <v>109.33333333333336</v>
      </c>
      <c r="J31" s="2">
        <f>[1]GARN!$H$31</f>
        <v>106.95652173913045</v>
      </c>
      <c r="L31" s="10">
        <f>-H31+J31</f>
        <v>-2.3768115942029056</v>
      </c>
    </row>
    <row r="32" spans="2:12" ht="14.1" customHeight="1" x14ac:dyDescent="0.2">
      <c r="G32" s="7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City'!O91</f>
        <v>4.3010752688172046E-2</v>
      </c>
      <c r="G33" s="7"/>
      <c r="H33" s="50">
        <f>D33*F33</f>
        <v>2702.0215053763445</v>
      </c>
      <c r="J33" s="2">
        <f>[1]GARN!$H$33</f>
        <v>2885.8686820165349</v>
      </c>
      <c r="L33" s="10">
        <f>-H33+J33</f>
        <v>183.84717664019036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37275.874838709678</v>
      </c>
      <c r="J35" s="14">
        <f>+SUM(J13:J34)</f>
        <v>37274.345203755656</v>
      </c>
      <c r="L35" s="14">
        <f>-H35+J35</f>
        <v>-1.5296349540221854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</sheetData>
  <mergeCells count="3">
    <mergeCell ref="B1:L1"/>
    <mergeCell ref="B2:L2"/>
    <mergeCell ref="B4:L4"/>
  </mergeCells>
  <phoneticPr fontId="0" type="noConversion"/>
  <pageMargins left="0.75" right="0.75" top="0.75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9.710937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18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179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18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18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19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119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19"/>
      <c r="J10" s="5" t="s">
        <v>24</v>
      </c>
      <c r="K10" s="119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City'!N33</f>
        <v>16380</v>
      </c>
      <c r="I13" s="10"/>
      <c r="J13" s="9">
        <v>0</v>
      </c>
      <c r="L13" s="9">
        <f>-H13+J13</f>
        <v>-16380</v>
      </c>
    </row>
    <row r="14" spans="1:12" ht="14.1" customHeight="1" x14ac:dyDescent="0.2">
      <c r="B14" s="6"/>
      <c r="C14" s="26" t="s">
        <v>40</v>
      </c>
      <c r="D14" s="35">
        <f>'SWPA Charges by City'!B52</f>
        <v>0</v>
      </c>
      <c r="E14" s="2" t="s">
        <v>41</v>
      </c>
      <c r="F14" s="30">
        <f>'SWPA Charges by City'!N66*12</f>
        <v>5.46</v>
      </c>
      <c r="G14" s="7"/>
      <c r="H14" s="10">
        <f>'SWPA Charges by City'!N73</f>
        <v>0</v>
      </c>
      <c r="J14" s="10">
        <v>0</v>
      </c>
      <c r="L14" s="10">
        <f>-H14+J14</f>
        <v>0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City'!B12</f>
        <v>300</v>
      </c>
      <c r="E17" s="2" t="s">
        <v>41</v>
      </c>
      <c r="F17" s="84">
        <f>AUG!F17</f>
        <v>0.13439999999999999</v>
      </c>
      <c r="G17" s="7"/>
      <c r="H17" s="2">
        <f>D17*F17</f>
        <v>40.32</v>
      </c>
      <c r="J17" s="50">
        <v>0</v>
      </c>
      <c r="L17" s="10">
        <f>-H17+J17</f>
        <v>-40.32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300</v>
      </c>
      <c r="E20" s="2" t="s">
        <v>41</v>
      </c>
      <c r="F20" s="84">
        <f>F17</f>
        <v>0.13439999999999999</v>
      </c>
      <c r="G20" s="7"/>
      <c r="H20" s="2">
        <f>D20*F20</f>
        <v>40.32</v>
      </c>
      <c r="J20" s="50">
        <v>0</v>
      </c>
      <c r="L20" s="10">
        <f>-H20+J20</f>
        <v>-40.32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City'!N92/1000</f>
        <v>360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6267</v>
      </c>
      <c r="J23" s="10">
        <v>0</v>
      </c>
      <c r="L23" s="10">
        <f>-H23+J23</f>
        <v>-6267</v>
      </c>
    </row>
    <row r="24" spans="2:12" ht="15.95" customHeight="1" x14ac:dyDescent="0.2">
      <c r="C24" s="2" t="s">
        <v>85</v>
      </c>
      <c r="D24" s="2">
        <f>'SWPA Charges by City'!N151/1000</f>
        <v>336.45</v>
      </c>
      <c r="E24" s="2" t="s">
        <v>44</v>
      </c>
      <c r="F24" s="20">
        <f>'SWPA Charges by City'!N165</f>
        <v>9.5</v>
      </c>
      <c r="G24" s="7"/>
      <c r="H24" s="2">
        <f>+ROUND(D24*F24,0)</f>
        <v>3196</v>
      </c>
      <c r="J24" s="10">
        <v>0</v>
      </c>
      <c r="L24" s="10">
        <f>-H24+J24</f>
        <v>-3196</v>
      </c>
    </row>
    <row r="25" spans="2:12" ht="14.1" customHeight="1" x14ac:dyDescent="0.2">
      <c r="C25" s="2" t="s">
        <v>43</v>
      </c>
      <c r="G25" s="7"/>
      <c r="J25" s="10"/>
    </row>
    <row r="26" spans="2:12" ht="14.1" customHeight="1" x14ac:dyDescent="0.2">
      <c r="D26" s="2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10"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10"/>
      <c r="L27" s="10"/>
    </row>
    <row r="28" spans="2:12" ht="14.1" customHeight="1" x14ac:dyDescent="0.2">
      <c r="D28" s="2">
        <f>('SWPA Charges by City'!B52/'SWPA Charges by City'!B12)*('SWPA Charges by City'!N151/1000)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10"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10"/>
      <c r="L29" s="10"/>
    </row>
    <row r="30" spans="2:12" ht="12" customHeight="1" x14ac:dyDescent="0.2">
      <c r="B30" s="2" t="s">
        <v>80</v>
      </c>
      <c r="F30" s="30"/>
      <c r="G30" s="7"/>
      <c r="J30" s="10"/>
    </row>
    <row r="31" spans="2:12" ht="12.95" customHeight="1" x14ac:dyDescent="0.2">
      <c r="C31" s="2" t="s">
        <v>77</v>
      </c>
      <c r="G31" s="7"/>
      <c r="H31" s="10">
        <f>'SWPA Charges by City'!N210</f>
        <v>82</v>
      </c>
      <c r="J31" s="10">
        <v>0</v>
      </c>
      <c r="L31" s="10">
        <f>-H31+J31</f>
        <v>-82</v>
      </c>
    </row>
    <row r="32" spans="2:12" ht="14.1" customHeight="1" x14ac:dyDescent="0.2">
      <c r="G32" s="7"/>
      <c r="J32" s="10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City'!O92</f>
        <v>3.2258064516129031E-2</v>
      </c>
      <c r="G33" s="7"/>
      <c r="H33" s="50">
        <f>D33*F33</f>
        <v>2026.516129032258</v>
      </c>
      <c r="J33" s="10">
        <v>0</v>
      </c>
      <c r="L33" s="10">
        <f>-H33+J33</f>
        <v>-2026.516129032258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28032.156129032257</v>
      </c>
      <c r="J35" s="14">
        <f>+SUM(J13:J34)</f>
        <v>0</v>
      </c>
      <c r="L35" s="14">
        <f>-H35+J35</f>
        <v>-28032.156129032257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>
      <selection activeCell="D17" sqref="D17"/>
    </sheetView>
  </sheetViews>
  <sheetFormatPr defaultRowHeight="14.1" customHeight="1" x14ac:dyDescent="0.2"/>
  <cols>
    <col min="1" max="1" width="2.85546875" style="2" customWidth="1"/>
    <col min="2" max="2" width="2.28515625" style="2" customWidth="1"/>
    <col min="3" max="3" width="14" style="2" customWidth="1"/>
    <col min="4" max="4" width="8.5703125" style="2" bestFit="1" customWidth="1"/>
    <col min="5" max="5" width="7.5703125" style="2" customWidth="1"/>
    <col min="6" max="6" width="7" style="2" customWidth="1"/>
    <col min="7" max="7" width="3.7109375" style="2" customWidth="1"/>
    <col min="8" max="8" width="8.7109375" style="2" customWidth="1"/>
    <col min="9" max="9" width="1.7109375" style="2" customWidth="1"/>
    <col min="10" max="10" width="8.7109375" style="2" customWidth="1"/>
    <col min="11" max="11" width="2.7109375" style="2" customWidth="1"/>
    <col min="12" max="12" width="9.7109375" style="2" bestFit="1" customWidth="1"/>
    <col min="13" max="16384" width="9.140625" style="2"/>
  </cols>
  <sheetData>
    <row r="1" spans="1:12" ht="15.95" customHeight="1" x14ac:dyDescent="0.2">
      <c r="A1" s="16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95" customHeight="1" x14ac:dyDescent="0.2">
      <c r="A2" s="16"/>
      <c r="B2" s="125" t="str">
        <f>SUMMARY!B2</f>
        <v>2015 Annual Budget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95" customHeight="1" x14ac:dyDescent="0.2">
      <c r="A3" s="16"/>
      <c r="B3" s="16"/>
      <c r="C3" s="16"/>
      <c r="D3" s="16"/>
      <c r="E3" s="16"/>
      <c r="F3" s="16"/>
      <c r="G3" s="118"/>
      <c r="H3" s="7"/>
      <c r="I3" s="7"/>
      <c r="J3" s="16"/>
      <c r="K3" s="16"/>
      <c r="L3" s="16"/>
    </row>
    <row r="4" spans="1:12" ht="15.95" customHeight="1" x14ac:dyDescent="0.2">
      <c r="A4" s="16"/>
      <c r="B4" s="125" t="s">
        <v>180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95" customHeight="1" x14ac:dyDescent="0.2">
      <c r="A5" s="16"/>
      <c r="B5" s="16"/>
      <c r="C5" s="16"/>
      <c r="D5" s="16"/>
      <c r="E5" s="16"/>
      <c r="F5" s="16"/>
      <c r="G5" s="118"/>
      <c r="H5" s="7"/>
      <c r="I5" s="7"/>
      <c r="J5" s="16"/>
      <c r="K5" s="16"/>
      <c r="L5" s="16"/>
    </row>
    <row r="6" spans="1:12" ht="16.5" customHeight="1" x14ac:dyDescent="0.2">
      <c r="A6" s="16"/>
      <c r="B6" s="16"/>
      <c r="C6" s="16"/>
      <c r="D6" s="27"/>
      <c r="E6" s="16"/>
      <c r="F6" s="16"/>
      <c r="G6" s="118"/>
      <c r="H6" s="31"/>
      <c r="I6" s="29"/>
      <c r="J6" s="32"/>
      <c r="K6" s="16"/>
      <c r="L6" s="16"/>
    </row>
    <row r="7" spans="1:12" ht="14.1" customHeight="1" x14ac:dyDescent="0.2">
      <c r="C7" s="11"/>
    </row>
    <row r="8" spans="1:12" ht="14.1" customHeight="1" x14ac:dyDescent="0.2">
      <c r="C8" s="11"/>
      <c r="L8" s="119" t="s">
        <v>92</v>
      </c>
    </row>
    <row r="9" spans="1:12" ht="14.1" customHeight="1" x14ac:dyDescent="0.2">
      <c r="G9" s="7"/>
      <c r="H9" s="60">
        <f>AUG!H9</f>
        <v>2015</v>
      </c>
      <c r="I9" s="61"/>
      <c r="J9" s="62">
        <f>AUG!J9</f>
        <v>2014</v>
      </c>
      <c r="K9" s="119"/>
      <c r="L9" s="59" t="s">
        <v>93</v>
      </c>
    </row>
    <row r="10" spans="1:12" ht="14.1" customHeight="1" x14ac:dyDescent="0.2">
      <c r="B10" s="28"/>
      <c r="C10" s="5" t="s">
        <v>23</v>
      </c>
      <c r="D10" s="15"/>
      <c r="E10" s="15"/>
      <c r="F10" s="15"/>
      <c r="G10" s="7"/>
      <c r="H10" s="5" t="s">
        <v>24</v>
      </c>
      <c r="I10" s="119"/>
      <c r="J10" s="5" t="s">
        <v>24</v>
      </c>
      <c r="K10" s="119"/>
      <c r="L10" s="5" t="s">
        <v>25</v>
      </c>
    </row>
    <row r="11" spans="1:12" ht="6.95" customHeight="1" x14ac:dyDescent="0.2">
      <c r="G11" s="7"/>
    </row>
    <row r="12" spans="1:12" ht="15.95" customHeight="1" x14ac:dyDescent="0.2">
      <c r="B12" s="2" t="s">
        <v>39</v>
      </c>
      <c r="D12"/>
      <c r="G12" s="7"/>
    </row>
    <row r="13" spans="1:12" ht="15.95" customHeight="1" x14ac:dyDescent="0.2">
      <c r="C13" s="2" t="s">
        <v>83</v>
      </c>
      <c r="D13" s="74">
        <f>'SWPA Charges by City'!N26</f>
        <v>4.55</v>
      </c>
      <c r="E13" s="2" t="s">
        <v>84</v>
      </c>
      <c r="G13" s="7"/>
      <c r="H13" s="9">
        <f>'SWPA Charges by City'!N34</f>
        <v>10920</v>
      </c>
      <c r="I13" s="10"/>
      <c r="J13" s="9">
        <v>0</v>
      </c>
      <c r="L13" s="9">
        <f>-H13+J13</f>
        <v>-10920</v>
      </c>
    </row>
    <row r="14" spans="1:12" ht="14.1" customHeight="1" x14ac:dyDescent="0.2">
      <c r="B14" s="6"/>
      <c r="C14" s="26" t="s">
        <v>40</v>
      </c>
      <c r="D14" s="35">
        <f>'SWPA Charges by City'!B53</f>
        <v>0</v>
      </c>
      <c r="E14" s="2" t="s">
        <v>41</v>
      </c>
      <c r="F14" s="30">
        <f>'SWPA Charges by City'!N66*12</f>
        <v>5.46</v>
      </c>
      <c r="G14" s="7"/>
      <c r="H14" s="10">
        <f>'SWPA Charges by City'!N74</f>
        <v>0</v>
      </c>
      <c r="J14" s="10">
        <v>0</v>
      </c>
      <c r="L14" s="10">
        <f>-H14+J14</f>
        <v>0</v>
      </c>
    </row>
    <row r="15" spans="1:12" ht="14.1" customHeight="1" x14ac:dyDescent="0.2">
      <c r="G15" s="7"/>
    </row>
    <row r="16" spans="1:12" ht="14.1" customHeight="1" x14ac:dyDescent="0.2">
      <c r="C16" s="2" t="s">
        <v>122</v>
      </c>
      <c r="G16" s="7"/>
      <c r="J16" s="50"/>
    </row>
    <row r="17" spans="2:12" ht="14.1" customHeight="1" x14ac:dyDescent="0.2">
      <c r="D17" s="2">
        <f>'SWPA Charges by City'!B13</f>
        <v>200</v>
      </c>
      <c r="E17" s="2" t="s">
        <v>41</v>
      </c>
      <c r="F17" s="84">
        <f>AUG!F17</f>
        <v>0.13439999999999999</v>
      </c>
      <c r="G17" s="7"/>
      <c r="H17" s="2">
        <f>D17*F17</f>
        <v>26.88</v>
      </c>
      <c r="J17" s="50">
        <v>0</v>
      </c>
      <c r="L17" s="10">
        <f>-H17+J17</f>
        <v>-26.88</v>
      </c>
    </row>
    <row r="18" spans="2:12" ht="14.1" customHeight="1" x14ac:dyDescent="0.2">
      <c r="G18" s="7"/>
      <c r="J18" s="50"/>
    </row>
    <row r="19" spans="2:12" ht="14.1" customHeight="1" x14ac:dyDescent="0.2">
      <c r="C19" s="2" t="s">
        <v>122</v>
      </c>
      <c r="G19" s="7"/>
      <c r="J19" s="50"/>
    </row>
    <row r="20" spans="2:12" ht="14.1" customHeight="1" x14ac:dyDescent="0.2">
      <c r="D20" s="2">
        <f>D17</f>
        <v>200</v>
      </c>
      <c r="E20" s="2" t="s">
        <v>41</v>
      </c>
      <c r="F20" s="84">
        <f>F17</f>
        <v>0.13439999999999999</v>
      </c>
      <c r="G20" s="7"/>
      <c r="H20" s="2">
        <f>D20*F20</f>
        <v>26.88</v>
      </c>
      <c r="J20" s="50">
        <v>0</v>
      </c>
      <c r="L20" s="10">
        <f>-H20+J20</f>
        <v>-26.88</v>
      </c>
    </row>
    <row r="21" spans="2:12" ht="14.1" customHeight="1" x14ac:dyDescent="0.2">
      <c r="G21" s="7"/>
    </row>
    <row r="22" spans="2:12" ht="15.95" customHeight="1" x14ac:dyDescent="0.2">
      <c r="B22" s="2" t="s">
        <v>42</v>
      </c>
      <c r="G22" s="7"/>
    </row>
    <row r="23" spans="2:12" ht="15.95" customHeight="1" x14ac:dyDescent="0.2">
      <c r="C23" s="2" t="s">
        <v>86</v>
      </c>
      <c r="D23" s="2">
        <f>'SWPA Charges by City'!N93/1000</f>
        <v>240</v>
      </c>
      <c r="E23" s="2" t="s">
        <v>44</v>
      </c>
      <c r="F23" s="20">
        <f>'SWPA Charges by City'!N106</f>
        <v>17.408299999999997</v>
      </c>
      <c r="G23" s="7"/>
      <c r="H23" s="2">
        <f>+ROUND(D23*F23,0)</f>
        <v>4178</v>
      </c>
      <c r="J23" s="10">
        <v>0</v>
      </c>
      <c r="L23" s="10">
        <f>-H23+J23</f>
        <v>-4178</v>
      </c>
    </row>
    <row r="24" spans="2:12" ht="15.95" customHeight="1" x14ac:dyDescent="0.2">
      <c r="C24" s="2" t="s">
        <v>85</v>
      </c>
      <c r="D24" s="2">
        <f>'SWPA Charges by City'!N152/1000</f>
        <v>224.3</v>
      </c>
      <c r="E24" s="2" t="s">
        <v>44</v>
      </c>
      <c r="F24" s="20">
        <f>'SWPA Charges by City'!N165</f>
        <v>9.5</v>
      </c>
      <c r="G24" s="7"/>
      <c r="H24" s="2">
        <f>+ROUND(D24*F24,0)</f>
        <v>2131</v>
      </c>
      <c r="J24" s="10">
        <v>0</v>
      </c>
      <c r="L24" s="10">
        <f>-H24+J24</f>
        <v>-2131</v>
      </c>
    </row>
    <row r="25" spans="2:12" ht="14.1" customHeight="1" x14ac:dyDescent="0.2">
      <c r="C25" s="2" t="s">
        <v>43</v>
      </c>
      <c r="G25" s="7"/>
      <c r="J25" s="10"/>
    </row>
    <row r="26" spans="2:12" ht="14.1" customHeight="1" x14ac:dyDescent="0.2">
      <c r="D26" s="2">
        <f>+D14*1.2</f>
        <v>0</v>
      </c>
      <c r="E26" s="2" t="s">
        <v>44</v>
      </c>
      <c r="F26" s="30">
        <f>F23/10</f>
        <v>1.7408299999999997</v>
      </c>
      <c r="G26" s="7"/>
      <c r="H26" s="10">
        <f>+ROUND(D26*F26,0)</f>
        <v>0</v>
      </c>
      <c r="J26" s="10">
        <v>0</v>
      </c>
      <c r="L26" s="10">
        <f>-H26+J26</f>
        <v>0</v>
      </c>
    </row>
    <row r="27" spans="2:12" ht="14.1" customHeight="1" x14ac:dyDescent="0.2">
      <c r="C27" s="6" t="s">
        <v>45</v>
      </c>
      <c r="F27" s="30"/>
      <c r="G27" s="7"/>
      <c r="H27" s="10"/>
      <c r="J27" s="10"/>
      <c r="L27" s="10"/>
    </row>
    <row r="28" spans="2:12" ht="14.1" customHeight="1" x14ac:dyDescent="0.2">
      <c r="D28" s="2">
        <f>('SWPA Charges by City'!B53/'SWPA Charges by City'!B13)*('SWPA Charges by City'!N152/1000)</f>
        <v>0</v>
      </c>
      <c r="E28" s="2" t="s">
        <v>44</v>
      </c>
      <c r="F28" s="30">
        <f>F24/10</f>
        <v>0.95</v>
      </c>
      <c r="G28" s="7"/>
      <c r="H28" s="10">
        <f>+ROUND(D28*F28,0)</f>
        <v>0</v>
      </c>
      <c r="J28" s="10">
        <v>0</v>
      </c>
      <c r="L28" s="10">
        <f>-H28+J28</f>
        <v>0</v>
      </c>
    </row>
    <row r="29" spans="2:12" ht="14.1" customHeight="1" x14ac:dyDescent="0.2">
      <c r="F29" s="30"/>
      <c r="G29" s="7"/>
      <c r="H29" s="10"/>
      <c r="J29" s="10"/>
      <c r="L29" s="10"/>
    </row>
    <row r="30" spans="2:12" ht="12" customHeight="1" x14ac:dyDescent="0.2">
      <c r="B30" s="2" t="s">
        <v>80</v>
      </c>
      <c r="F30" s="30"/>
      <c r="G30" s="7"/>
      <c r="J30" s="10"/>
    </row>
    <row r="31" spans="2:12" ht="12.95" customHeight="1" x14ac:dyDescent="0.2">
      <c r="C31" s="2" t="s">
        <v>77</v>
      </c>
      <c r="G31" s="7"/>
      <c r="H31" s="10">
        <f>'SWPA Charges by City'!N211</f>
        <v>54.666666666666679</v>
      </c>
      <c r="J31" s="10">
        <v>0</v>
      </c>
      <c r="L31" s="10">
        <f>-H31+J31</f>
        <v>-54.666666666666679</v>
      </c>
    </row>
    <row r="32" spans="2:12" ht="14.1" customHeight="1" x14ac:dyDescent="0.2">
      <c r="G32" s="7"/>
      <c r="J32" s="10"/>
    </row>
    <row r="33" spans="2:12" ht="12.95" customHeight="1" x14ac:dyDescent="0.2">
      <c r="B33" s="2" t="s">
        <v>123</v>
      </c>
      <c r="D33" s="87">
        <f>AUG!D33</f>
        <v>62822</v>
      </c>
      <c r="E33" s="2" t="s">
        <v>124</v>
      </c>
      <c r="F33" s="86">
        <f>'SWPA Charges by City'!O93</f>
        <v>2.1505376344086023E-2</v>
      </c>
      <c r="G33" s="7"/>
      <c r="H33" s="50">
        <f>D33*F33</f>
        <v>1351.0107526881723</v>
      </c>
      <c r="J33" s="10">
        <v>0</v>
      </c>
      <c r="L33" s="10">
        <f>-H33+J33</f>
        <v>-1351.0107526881723</v>
      </c>
    </row>
    <row r="34" spans="2:12" ht="12.95" customHeight="1" x14ac:dyDescent="0.2">
      <c r="B34" s="22"/>
      <c r="F34" s="20"/>
      <c r="G34" s="7"/>
      <c r="H34" s="10"/>
      <c r="J34" s="10"/>
      <c r="L34" s="10"/>
    </row>
    <row r="35" spans="2:12" ht="27.95" customHeight="1" thickBot="1" x14ac:dyDescent="0.25">
      <c r="B35" s="2" t="s">
        <v>46</v>
      </c>
      <c r="F35" s="21"/>
      <c r="G35" s="7"/>
      <c r="H35" s="14">
        <f>+SUM(H13:H34)</f>
        <v>18688.437419354839</v>
      </c>
      <c r="J35" s="14">
        <f>+SUM(J13:J34)</f>
        <v>0</v>
      </c>
      <c r="L35" s="14">
        <f>-H35+J35</f>
        <v>-18688.437419354839</v>
      </c>
    </row>
    <row r="36" spans="2:12" ht="15.95" customHeight="1" thickTop="1" x14ac:dyDescent="0.2">
      <c r="G36" s="7"/>
    </row>
    <row r="37" spans="2:12" ht="15.95" customHeight="1" x14ac:dyDescent="0.2">
      <c r="G37" s="7"/>
    </row>
    <row r="38" spans="2:12" ht="15.95" customHeight="1" x14ac:dyDescent="0.2">
      <c r="G38" s="7"/>
    </row>
    <row r="39" spans="2:12" ht="12" x14ac:dyDescent="0.2"/>
    <row r="40" spans="2:12" ht="12" x14ac:dyDescent="0.2"/>
    <row r="41" spans="2:12" ht="12" x14ac:dyDescent="0.2"/>
    <row r="42" spans="2:12" ht="12" x14ac:dyDescent="0.2"/>
    <row r="43" spans="2:12" ht="12" x14ac:dyDescent="0.2"/>
    <row r="44" spans="2:12" ht="12" x14ac:dyDescent="0.2"/>
    <row r="45" spans="2:12" ht="12" x14ac:dyDescent="0.2"/>
    <row r="46" spans="2:12" ht="12" x14ac:dyDescent="0.2"/>
    <row r="47" spans="2:12" ht="12" x14ac:dyDescent="0.2"/>
    <row r="48" spans="2:12" ht="12" x14ac:dyDescent="0.2"/>
    <row r="49" ht="12" x14ac:dyDescent="0.2"/>
    <row r="50" ht="12" x14ac:dyDescent="0.2"/>
    <row r="51" ht="12" x14ac:dyDescent="0.2"/>
    <row r="52" ht="12" x14ac:dyDescent="0.2"/>
    <row r="53" ht="12" x14ac:dyDescent="0.2"/>
    <row r="54" ht="12" x14ac:dyDescent="0.2"/>
    <row r="55" ht="12" x14ac:dyDescent="0.2"/>
    <row r="56" ht="12" x14ac:dyDescent="0.2"/>
    <row r="57" ht="12" x14ac:dyDescent="0.2"/>
    <row r="58" ht="12" x14ac:dyDescent="0.2"/>
    <row r="59" ht="12" x14ac:dyDescent="0.2"/>
    <row r="60" ht="12" x14ac:dyDescent="0.2"/>
    <row r="61" ht="12" x14ac:dyDescent="0.2"/>
    <row r="62" ht="12" x14ac:dyDescent="0.2"/>
    <row r="63" ht="12" x14ac:dyDescent="0.2"/>
    <row r="64" ht="12" x14ac:dyDescent="0.2"/>
    <row r="65" ht="12" x14ac:dyDescent="0.2"/>
    <row r="66" ht="12" x14ac:dyDescent="0.2"/>
    <row r="67" ht="12" x14ac:dyDescent="0.2"/>
    <row r="68" ht="12" x14ac:dyDescent="0.2"/>
    <row r="69" ht="12" x14ac:dyDescent="0.2"/>
    <row r="70" ht="12" x14ac:dyDescent="0.2"/>
    <row r="71" ht="12" x14ac:dyDescent="0.2"/>
    <row r="72" ht="12" x14ac:dyDescent="0.2"/>
    <row r="73" ht="12" x14ac:dyDescent="0.2"/>
    <row r="74" ht="12" x14ac:dyDescent="0.2"/>
    <row r="75" ht="12" x14ac:dyDescent="0.2"/>
    <row r="76" ht="12" x14ac:dyDescent="0.2"/>
    <row r="77" ht="12" x14ac:dyDescent="0.2"/>
    <row r="78" ht="12" x14ac:dyDescent="0.2"/>
    <row r="79" ht="12" x14ac:dyDescent="0.2"/>
    <row r="80" ht="12" x14ac:dyDescent="0.2"/>
    <row r="81" ht="12" x14ac:dyDescent="0.2"/>
    <row r="82" ht="12" x14ac:dyDescent="0.2"/>
    <row r="83" ht="12" x14ac:dyDescent="0.2"/>
    <row r="84" ht="12" x14ac:dyDescent="0.2"/>
    <row r="85" ht="12" x14ac:dyDescent="0.2"/>
    <row r="86" ht="12" x14ac:dyDescent="0.2"/>
    <row r="87" ht="12" x14ac:dyDescent="0.2"/>
    <row r="88" ht="12" x14ac:dyDescent="0.2"/>
    <row r="89" ht="12" x14ac:dyDescent="0.2"/>
    <row r="90" ht="12" x14ac:dyDescent="0.2"/>
    <row r="91" ht="12" x14ac:dyDescent="0.2"/>
    <row r="92" ht="12" x14ac:dyDescent="0.2"/>
    <row r="93" ht="12" x14ac:dyDescent="0.2"/>
    <row r="94" ht="12" x14ac:dyDescent="0.2"/>
    <row r="95" ht="12" x14ac:dyDescent="0.2"/>
    <row r="96" ht="12" x14ac:dyDescent="0.2"/>
    <row r="97" ht="12" x14ac:dyDescent="0.2"/>
    <row r="98" ht="12" x14ac:dyDescent="0.2"/>
    <row r="99" ht="12" x14ac:dyDescent="0.2"/>
    <row r="100" ht="12" x14ac:dyDescent="0.2"/>
    <row r="101" ht="12" x14ac:dyDescent="0.2"/>
    <row r="102" ht="12" x14ac:dyDescent="0.2"/>
    <row r="103" ht="12" x14ac:dyDescent="0.2"/>
    <row r="104" ht="12" x14ac:dyDescent="0.2"/>
    <row r="105" ht="12" x14ac:dyDescent="0.2"/>
    <row r="106" ht="12" x14ac:dyDescent="0.2"/>
    <row r="107" ht="12" x14ac:dyDescent="0.2"/>
    <row r="108" ht="12" x14ac:dyDescent="0.2"/>
    <row r="109" ht="12" x14ac:dyDescent="0.2"/>
    <row r="110" ht="12" x14ac:dyDescent="0.2"/>
    <row r="111" ht="12" x14ac:dyDescent="0.2"/>
    <row r="112" ht="12" x14ac:dyDescent="0.2"/>
    <row r="113" ht="12" x14ac:dyDescent="0.2"/>
    <row r="114" ht="12" x14ac:dyDescent="0.2"/>
    <row r="115" ht="12" x14ac:dyDescent="0.2"/>
    <row r="116" ht="12" x14ac:dyDescent="0.2"/>
    <row r="117" ht="12" x14ac:dyDescent="0.2"/>
    <row r="118" ht="12" x14ac:dyDescent="0.2"/>
    <row r="119" ht="12" x14ac:dyDescent="0.2"/>
    <row r="120" ht="12" x14ac:dyDescent="0.2"/>
    <row r="121" ht="12" x14ac:dyDescent="0.2"/>
    <row r="122" ht="12" x14ac:dyDescent="0.2"/>
    <row r="123" ht="12" x14ac:dyDescent="0.2"/>
    <row r="124" ht="12" x14ac:dyDescent="0.2"/>
    <row r="125" ht="12" x14ac:dyDescent="0.2"/>
    <row r="126" ht="12" x14ac:dyDescent="0.2"/>
    <row r="127" ht="12" x14ac:dyDescent="0.2"/>
    <row r="128" ht="12" x14ac:dyDescent="0.2"/>
    <row r="129" ht="12" x14ac:dyDescent="0.2"/>
    <row r="130" ht="12" x14ac:dyDescent="0.2"/>
    <row r="131" ht="12" x14ac:dyDescent="0.2"/>
    <row r="132" ht="12" x14ac:dyDescent="0.2"/>
    <row r="133" ht="12" x14ac:dyDescent="0.2"/>
    <row r="134" ht="12" x14ac:dyDescent="0.2"/>
    <row r="135" ht="12" x14ac:dyDescent="0.2"/>
    <row r="136" ht="12" x14ac:dyDescent="0.2"/>
    <row r="137" ht="12" x14ac:dyDescent="0.2"/>
    <row r="138" ht="12" x14ac:dyDescent="0.2"/>
    <row r="139" ht="12" x14ac:dyDescent="0.2"/>
    <row r="140" ht="12" x14ac:dyDescent="0.2"/>
    <row r="141" ht="12" x14ac:dyDescent="0.2"/>
    <row r="142" ht="12" x14ac:dyDescent="0.2"/>
    <row r="143" ht="12" x14ac:dyDescent="0.2"/>
    <row r="144" ht="12" x14ac:dyDescent="0.2"/>
    <row r="145" ht="12" x14ac:dyDescent="0.2"/>
    <row r="146" ht="12" x14ac:dyDescent="0.2"/>
    <row r="147" ht="12" x14ac:dyDescent="0.2"/>
    <row r="148" ht="12" x14ac:dyDescent="0.2"/>
    <row r="149" ht="12" x14ac:dyDescent="0.2"/>
  </sheetData>
  <mergeCells count="3">
    <mergeCell ref="B1:L1"/>
    <mergeCell ref="B2:L2"/>
    <mergeCell ref="B4:L4"/>
  </mergeCells>
  <pageMargins left="0.75" right="0.75" top="0.75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SUMMARY</vt:lpstr>
      <vt:lpstr>DESCRIP</vt:lpstr>
      <vt:lpstr>AUG</vt:lpstr>
      <vt:lpstr>BAL</vt:lpstr>
      <vt:lpstr>CHA</vt:lpstr>
      <vt:lpstr>CLAY</vt:lpstr>
      <vt:lpstr>GARN</vt:lpstr>
      <vt:lpstr>HOLT</vt:lpstr>
      <vt:lpstr>HORT</vt:lpstr>
      <vt:lpstr>IOLA</vt:lpstr>
      <vt:lpstr>MULV</vt:lpstr>
      <vt:lpstr>NEO</vt:lpstr>
      <vt:lpstr>OBE</vt:lpstr>
      <vt:lpstr>OSAW</vt:lpstr>
      <vt:lpstr>OTT</vt:lpstr>
      <vt:lpstr>SHAR</vt:lpstr>
      <vt:lpstr>STFR</vt:lpstr>
      <vt:lpstr>WAME</vt:lpstr>
      <vt:lpstr>WELL</vt:lpstr>
      <vt:lpstr>CLASS B CITIES</vt:lpstr>
      <vt:lpstr>SWPA Charges by City</vt:lpstr>
      <vt:lpstr>Energy</vt:lpstr>
      <vt:lpstr>AUG!Print_Area</vt:lpstr>
      <vt:lpstr>BAL!Print_Area</vt:lpstr>
      <vt:lpstr>CHA!Print_Area</vt:lpstr>
      <vt:lpstr>'CLASS B CITIES'!Print_Area</vt:lpstr>
      <vt:lpstr>GARN!Print_Area</vt:lpstr>
      <vt:lpstr>HOLT!Print_Area</vt:lpstr>
      <vt:lpstr>HORT!Print_Area</vt:lpstr>
      <vt:lpstr>IOLA!Print_Area</vt:lpstr>
      <vt:lpstr>MULV!Print_Area</vt:lpstr>
      <vt:lpstr>NEO!Print_Area</vt:lpstr>
      <vt:lpstr>OBE!Print_Area</vt:lpstr>
      <vt:lpstr>OSAW!Print_Area</vt:lpstr>
      <vt:lpstr>OTT!Print_Area</vt:lpstr>
      <vt:lpstr>SHAR!Print_Area</vt:lpstr>
      <vt:lpstr>STFR!Print_Area</vt:lpstr>
      <vt:lpstr>SUMMARY!Print_Area</vt:lpstr>
      <vt:lpstr>WAME!Print_Area</vt:lpstr>
      <vt:lpstr>WELL!Print_Area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Turner</dc:creator>
  <cp:lastModifiedBy>Jennifer</cp:lastModifiedBy>
  <cp:lastPrinted>2014-09-15T16:41:25Z</cp:lastPrinted>
  <dcterms:created xsi:type="dcterms:W3CDTF">1999-05-26T14:31:26Z</dcterms:created>
  <dcterms:modified xsi:type="dcterms:W3CDTF">2015-01-09T17:02:36Z</dcterms:modified>
</cp:coreProperties>
</file>